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codeName="ThisWorkbook"/>
  <xr:revisionPtr revIDLastSave="0" documentId="13_ncr:1_{1CF5BAEF-CA05-497A-A4A7-B64D187E3F02}" xr6:coauthVersionLast="47" xr6:coauthVersionMax="47" xr10:uidLastSave="{00000000-0000-0000-0000-000000000000}"/>
  <bookViews>
    <workbookView xWindow="-60" yWindow="-60" windowWidth="20610" windowHeight="11190" tabRatio="867" firstSheet="1"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個表_処遇'!$A$1:$AH$28</definedName>
    <definedName name="_xlnm.Print_Area" localSheetId="4">'別紙様式2-3 個表_特定'!$A$1:$AI$29</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52" i="70" l="1"/>
  <c r="D49" i="70"/>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B50" i="70" l="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<sst xmlns="http://schemas.openxmlformats.org/spreadsheetml/2006/main" count="3130" uniqueCount="557">
  <si>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</si>
  <si>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</si>
  <si>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</si>
  <si>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</si>
  <si>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</si>
  <si>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</si>
  <si>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</si>
  <si>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</si>
  <si>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</si>
  <si>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</si>
  <si>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</si>
  <si>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</si>
  <si>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</si>
  <si>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</si>
  <si>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</si>
  <si>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</si>
  <si>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</si>
  <si>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</si>
  <si>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</si>
  <si>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</si>
  <si>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</si>
  <si>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</si>
  <si>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</si>
  <si>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</si>
  <si>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</si>
  <si>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</si>
  <si>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</si>
  <si>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</si>
  <si>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</si>
  <si>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</si>
  <si>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</si>
  <si>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</si>
  <si>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</si>
  <si>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</si>
  <si>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</si>
  <si>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</si>
  <si>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</si>
  <si>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</si>
  <si>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</si>
  <si>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</si>
  <si>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</si>
  <si>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</si>
  <si>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</si>
  <si>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</si>
  <si>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</si>
  <si>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</si>
  <si>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</si>
  <si>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</si>
  <si>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</si>
  <si>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</si>
  <si>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</si>
  <si>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</si>
  <si>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</si>
  <si>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</si>
  <si>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</si>
  <si>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</si>
  <si>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</si>
  <si>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</si>
  <si>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</si>
  <si>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</si>
  <si>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</si>
  <si>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</si>
  <si>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</si>
  <si>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</si>
  <si>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</si>
  <si>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</si>
  <si>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</si>
  <si>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</si>
  <si>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</si>
  <si>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</si>
  <si>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</si>
  <si>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</si>
  <si>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</si>
  <si>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</si>
  <si>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</si>
  <si>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</si>
  <si>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</si>
  <si>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</si>
  <si>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</si>
  <si>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</si>
  <si>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</si>
  <si>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</si>
  <si>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</si>
  <si>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</si>
  <si>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</si>
  <si>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</si>
  <si>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</si>
  <si>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</si>
  <si>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</si>
  <si>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</si>
  <si>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</si>
  <si>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</si>
  <si>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</si>
  <si>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</si>
  <si>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</si>
  <si>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</si>
  <si>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</si>
  <si>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</si>
  <si>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</si>
  <si>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</si>
  <si>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</si>
  <si>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</si>
  <si>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</si>
  <si>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</si>
  <si>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</si>
  <si>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</si>
  <si>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</si>
  <si>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</si>
  <si>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</si>
  <si>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</si>
  <si>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</si>
  <si>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</si>
  <si>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</si>
  <si>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</si>
  <si>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</si>
  <si>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</si>
  <si>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</si>
  <si>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</si>
  <si>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</si>
  <si>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</si>
  <si>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</si>
  <si>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</si>
  <si>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</si>
  <si>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</si>
  <si>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</si>
  <si>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</si>
  <si>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</si>
  <si>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</si>
  <si>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</si>
  <si>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</si>
  <si>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</si>
  <si>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</si>
  <si>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</si>
  <si>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</si>
  <si>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</si>
  <si>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</si>
  <si>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</si>
  <si>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</si>
  <si>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</si>
  <si>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</si>
  <si>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</si>
  <si>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</si>
  <si>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</si>
  <si>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</si>
  <si>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</si>
  <si>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</si>
  <si>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</si>
  <si>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</si>
  <si>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</si>
  <si>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</si>
  <si>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</si>
  <si>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</si>
  <si>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</si>
  <si>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</si>
  <si>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</si>
  <si>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</si>
  <si>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</si>
  <si>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</si>
  <si>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</si>
  <si>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</si>
  <si>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</si>
  <si>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</si>
  <si>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</si>
  <si>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</si>
  <si>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</si>
  <si>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</si>
  <si>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</si>
  <si>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</si>
  <si>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</si>
  <si>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</si>
  <si>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</si>
  <si>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</si>
  <si>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</si>
  <si>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</si>
  <si>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</si>
  <si>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</si>
  <si>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</si>
  <si>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</si>
  <si>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</si>
  <si>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</si>
  <si>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</si>
  <si>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</si>
  <si>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</si>
  <si>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</si>
  <si>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</si>
  <si>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</si>
  <si>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</si>
  <si>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</si>
  <si>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</si>
  <si>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</si>
  <si>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</si>
  <si>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</si>
  <si>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</si>
  <si>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</si>
  <si>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</si>
  <si>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</si>
  <si>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</si>
  <si>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</si>
  <si>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</si>
  <si>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</si>
  <si>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</si>
  <si>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</si>
  <si>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</si>
  <si>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</si>
  <si>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</si>
  <si>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</si>
  <si>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</si>
  <si>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</si>
  <si>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</si>
  <si>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</si>
  <si>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</si>
  <si>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</si>
  <si>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</si>
  <si>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</si>
  <si>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</si>
  <si>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</si>
  <si>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</si>
  <si>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</si>
  <si>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</si>
  <si>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</si>
  <si>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</si>
  <si>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</si>
  <si>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</si>
  <si>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</si>
  <si>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</si>
  <si>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</si>
  <si>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</si>
  <si>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</si>
  <si>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</si>
  <si>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</si>
  <si>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</si>
  <si>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</si>
  <si>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</si>
  <si>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</si>
  <si>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</si>
  <si>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</si>
  <si>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</si>
  <si>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</si>
  <si>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</si>
  <si>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</si>
  <si>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</si>
  <si>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</si>
  <si>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</si>
  <si>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</si>
  <si>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</si>
  <si>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</si>
  <si>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</si>
  <si>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</si>
  <si>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</si>
  <si>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</si>
  <si>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</si>
  <si>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</si>
  <si>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</si>
  <si>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</si>
  <si>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</si>
  <si>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</si>
  <si>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</si>
  <si>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</si>
  <si>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</si>
  <si>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</si>
  <si>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</si>
  <si>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</si>
  <si>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</si>
  <si>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</si>
  <si>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</si>
  <si>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</si>
  <si>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</si>
  <si>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</si>
  <si>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</si>
  <si>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</si>
  <si>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</si>
  <si>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</si>
  <si>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</si>
  <si>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</si>
  <si>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</si>
  <si>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</si>
  <si>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</si>
  <si>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</si>
  <si>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</si>
  <si>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</si>
  <si>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</si>
  <si>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</si>
  <si>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</si>
  <si>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</si>
  <si>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</si>
  <si>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</si>
  <si>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</si>
  <si>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</si>
  <si>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</si>
  <si>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</si>
  <si>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</si>
  <si>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</si>
  <si>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</si>
  <si>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</si>
  <si>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</si>
  <si>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</si>
  <si>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</si>
  <si>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</si>
  <si>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</si>
  <si>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</si>
  <si>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</si>
  <si>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</si>
  <si>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</si>
  <si>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</si>
  <si>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</si>
  <si>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</si>
  <si>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</si>
  <si>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</si>
  <si>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</si>
  <si>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</si>
  <si>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</si>
  <si>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</si>
  <si>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</si>
  <si>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</si>
  <si>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</si>
  <si>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</si>
  <si>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</si>
  <si>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</si>
  <si>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</si>
  <si>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</si>
  <si>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</si>
  <si>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</si>
  <si>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</si>
  <si>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</si>
  <si>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</si>
  <si>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</si>
  <si>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</si>
  <si>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</si>
  <si>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</si>
  <si>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</si>
  <si>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</si>
  <si>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</si>
  <si>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</si>
  <si>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</si>
  <si>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</si>
  <si>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</si>
  <si>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</si>
  <si>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</si>
  <si>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</si>
  <si>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</si>
  <si>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</si>
  <si>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</si>
  <si>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</si>
  <si>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</si>
  <si>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</si>
  <si>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</si>
  <si>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</si>
  <si>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</si>
  <si>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</si>
  <si>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</si>
  <si>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</si>
  <si>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</si>
  <si>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</si>
  <si>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</si>
  <si>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</si>
  <si>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</si>
  <si>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</si>
  <si>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</si>
  <si>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</si>
  <si>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</si>
  <si>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</si>
  <si>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</si>
  <si>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</si>
  <si>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</si>
  <si>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</si>
  <si>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</si>
  <si>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</si>
  <si>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</si>
  <si>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</si>
  <si>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</si>
  <si>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</si>
  <si>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</si>
  <si>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</si>
  <si>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</si>
  <si>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</si>
  <si>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</si>
  <si>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</si>
  <si>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</si>
  <si>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</si>
  <si>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</si>
  <si>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</si>
  <si>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</si>
  <si>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</si>
  <si>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</si>
  <si>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</si>
  <si>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</si>
  <si>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</si>
  <si>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</si>
  <si>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</si>
  <si>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</si>
  <si>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</si>
  <si>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</si>
  <si>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</si>
  <si>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</si>
  <si>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</si>
  <si>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</si>
  <si>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</si>
  <si>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</si>
  <si>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</si>
  <si>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</si>
  <si>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</si>
  <si>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</si>
  <si>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</si>
  <si>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</si>
  <si>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</si>
  <si>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</si>
  <si>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</si>
  <si>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</si>
  <si>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</si>
  <si>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</si>
  <si>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</si>
  <si>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</si>
  <si>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</si>
  <si>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</si>
  <si>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</si>
  <si>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</si>
  <si>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</si>
  <si>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</si>
  <si>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</si>
  <si>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</si>
  <si>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</si>
  <si>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</si>
  <si>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</si>
  <si>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</si>
  <si>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</si>
  <si>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</si>
  <si>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</si>
  <si>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</si>
  <si>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</si>
  <si>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</si>
  <si>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</si>
  <si>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</si>
  <si>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</si>
  <si>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</si>
  <si>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</si>
  <si>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</si>
  <si>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</si>
  <si>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</si>
  <si>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</si>
  <si>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</si>
  <si>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</si>
  <si>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</si>
  <si>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</si>
  <si>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</si>
  <si>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</si>
  <si>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</si>
  <si>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</si>
  <si>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</si>
  <si>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</si>
  <si>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</si>
  <si>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</si>
  <si>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</si>
  <si>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</si>
  <si>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</si>
  <si>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</si>
  <si>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</si>
  <si>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</si>
  <si>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</si>
  <si>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</si>
  <si>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</si>
  <si>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</si>
  <si>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</si>
  <si>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</si>
  <si>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</si>
  <si>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</si>
  <si>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</si>
  <si>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</si>
  <si>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</si>
  <si>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</si>
  <si>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</si>
  <si>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</si>
  <si>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</si>
  <si>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</si>
  <si>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</si>
  <si>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</si>
  <si>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</si>
  <si>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</si>
  <si>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</si>
  <si>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</si>
  <si>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</si>
  <si>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</si>
  <si>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</si>
  <si>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</si>
  <si>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</si>
  <si>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</si>
  <si>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</si>
  <si>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</si>
  <si>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</si>
  <si>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</si>
  <si>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</si>
  <si>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</si>
  <si>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</si>
  <si>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</si>
  <si>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</si>
  <si>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</si>
  <si>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</si>
  <si>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</si>
  <si>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</si>
  <si>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</si>
  <si>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</si>
  <si>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</si>
  <si>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</si>
  <si>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</si>
  <si>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</si>
  <si>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</si>
  <si>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</si>
  <si>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</si>
  <si>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</si>
  <si>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</si>
  <si>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</si>
  <si>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</si>
  <si>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</si>
  <si>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</si>
  <si>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</si>
  <si>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</si>
  <si>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</si>
  <si>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</si>
  <si>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</si>
  <si>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</si>
  <si>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</si>
  <si>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</si>
  <si>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</si>
  <si>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</si>
  <si>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一宮市</t>
    <rPh sb="0" eb="3">
      <t>イチノミヤシ</t>
    </rPh>
    <phoneticPr fontId="7"/>
  </si>
  <si>
    <t>有限会社さくらハーティーケア</t>
    <rPh sb="0" eb="4">
      <t>ユウゲンガイシャ</t>
    </rPh>
    <phoneticPr fontId="7"/>
  </si>
  <si>
    <t>ユウゲンガイシャサクラハーティーケア</t>
    <phoneticPr fontId="7"/>
  </si>
  <si>
    <t>愛知県一宮市浅野字居森野８４番地</t>
    <rPh sb="0" eb="3">
      <t>アイチケン</t>
    </rPh>
    <rPh sb="3" eb="12">
      <t>イチノミヤシアサノアザイモリノ</t>
    </rPh>
    <rPh sb="14" eb="16">
      <t>バンチ</t>
    </rPh>
    <phoneticPr fontId="7"/>
  </si>
  <si>
    <t>代表取締役</t>
    <rPh sb="0" eb="5">
      <t>ダイヒョウトリシマリヤク</t>
    </rPh>
    <phoneticPr fontId="7"/>
  </si>
  <si>
    <t>松前　静</t>
    <rPh sb="0" eb="2">
      <t>マツマエ</t>
    </rPh>
    <rPh sb="3" eb="4">
      <t>シズ</t>
    </rPh>
    <phoneticPr fontId="7"/>
  </si>
  <si>
    <t>土屋　美希</t>
    <rPh sb="0" eb="2">
      <t>ツチヤ</t>
    </rPh>
    <rPh sb="3" eb="5">
      <t>ミキ</t>
    </rPh>
    <phoneticPr fontId="7"/>
  </si>
  <si>
    <t>ツチヤ　ミキ</t>
    <phoneticPr fontId="7"/>
  </si>
  <si>
    <t>0586-81-8001</t>
    <phoneticPr fontId="7"/>
  </si>
  <si>
    <t>0586-81-8002</t>
    <phoneticPr fontId="7"/>
  </si>
  <si>
    <t>sakuraen@aireikai.jp</t>
    <phoneticPr fontId="7"/>
  </si>
  <si>
    <t>岩倉市</t>
    <rPh sb="0" eb="3">
      <t>イワクラシ</t>
    </rPh>
    <phoneticPr fontId="7"/>
  </si>
  <si>
    <t>稲沢市</t>
    <rPh sb="0" eb="3">
      <t>イナザワシ</t>
    </rPh>
    <phoneticPr fontId="7"/>
  </si>
  <si>
    <t>愛知県</t>
    <rPh sb="0" eb="3">
      <t>アイチケン</t>
    </rPh>
    <phoneticPr fontId="7"/>
  </si>
  <si>
    <t>介護付有料老人ホームさくら苑</t>
    <rPh sb="0" eb="7">
      <t>カイゴツキユウリョウロウジン</t>
    </rPh>
    <rPh sb="13" eb="14">
      <t>エン</t>
    </rPh>
    <phoneticPr fontId="7"/>
  </si>
  <si>
    <t>デイサービスセンターさくら</t>
    <phoneticPr fontId="7"/>
  </si>
  <si>
    <t>特定施設入居者生活介護</t>
  </si>
  <si>
    <t>介護予防特定施設入居者生活介護</t>
  </si>
  <si>
    <t>通所介護</t>
  </si>
  <si>
    <t>・ｽｷﾙｱｯﾌﾟ手当として１人平均約1,400円支給する。支払項目は特別手当とする。
・処遇改善手当として毎月常勤１人当たり10,000円～15,000円、非常勤１人当たり平均約9,000円支給する。
・処遇改善資格手当として毎月介護福祉士１人当たり5,000円、非常勤は常勤換算により支給する。
・6月と12月に賞与（一時金）として常勤１人当たり平均100,000円、非常勤１人当たり平均65,000円支給する。支払項目は処遇改善手当とする。</t>
    <rPh sb="8" eb="10">
      <t>テアテ</t>
    </rPh>
    <rPh sb="14" eb="15">
      <t>ニン</t>
    </rPh>
    <rPh sb="15" eb="17">
      <t>ヘイキン</t>
    </rPh>
    <rPh sb="17" eb="18">
      <t>ヤク</t>
    </rPh>
    <rPh sb="23" eb="24">
      <t>エン</t>
    </rPh>
    <rPh sb="24" eb="26">
      <t>シキュウ</t>
    </rPh>
    <rPh sb="29" eb="31">
      <t>シハラ</t>
    </rPh>
    <rPh sb="31" eb="33">
      <t>コウモク</t>
    </rPh>
    <rPh sb="34" eb="36">
      <t>トクベツ</t>
    </rPh>
    <rPh sb="36" eb="38">
      <t>テアテ</t>
    </rPh>
    <rPh sb="44" eb="46">
      <t>ショグウ</t>
    </rPh>
    <rPh sb="46" eb="48">
      <t>カイゼン</t>
    </rPh>
    <rPh sb="48" eb="50">
      <t>テアテ</t>
    </rPh>
    <rPh sb="53" eb="55">
      <t>マイツキ</t>
    </rPh>
    <rPh sb="55" eb="57">
      <t>ジョウキン</t>
    </rPh>
    <rPh sb="58" eb="59">
      <t>ニン</t>
    </rPh>
    <rPh sb="59" eb="60">
      <t>ア</t>
    </rPh>
    <rPh sb="68" eb="69">
      <t>エン</t>
    </rPh>
    <rPh sb="76" eb="77">
      <t>エン</t>
    </rPh>
    <rPh sb="78" eb="81">
      <t>ヒジョウキン</t>
    </rPh>
    <rPh sb="82" eb="83">
      <t>ニン</t>
    </rPh>
    <rPh sb="83" eb="84">
      <t>ア</t>
    </rPh>
    <rPh sb="86" eb="88">
      <t>ヘイキン</t>
    </rPh>
    <rPh sb="88" eb="89">
      <t>ヤク</t>
    </rPh>
    <rPh sb="94" eb="95">
      <t>エン</t>
    </rPh>
    <rPh sb="95" eb="97">
      <t>シキュウ</t>
    </rPh>
    <rPh sb="102" eb="104">
      <t>ショグウ</t>
    </rPh>
    <rPh sb="104" eb="106">
      <t>カイゼン</t>
    </rPh>
    <rPh sb="106" eb="108">
      <t>シカク</t>
    </rPh>
    <rPh sb="108" eb="110">
      <t>テアテ</t>
    </rPh>
    <rPh sb="113" eb="115">
      <t>マイツキ</t>
    </rPh>
    <rPh sb="115" eb="117">
      <t>カイゴ</t>
    </rPh>
    <rPh sb="117" eb="120">
      <t>フクシシ</t>
    </rPh>
    <rPh sb="121" eb="122">
      <t>ニン</t>
    </rPh>
    <rPh sb="122" eb="123">
      <t>ア</t>
    </rPh>
    <rPh sb="130" eb="131">
      <t>エン</t>
    </rPh>
    <rPh sb="132" eb="135">
      <t>ヒジョウキン</t>
    </rPh>
    <rPh sb="136" eb="138">
      <t>ジョウキン</t>
    </rPh>
    <rPh sb="138" eb="140">
      <t>カンサン</t>
    </rPh>
    <rPh sb="143" eb="145">
      <t>シキュウ</t>
    </rPh>
    <rPh sb="151" eb="152">
      <t>ガツ</t>
    </rPh>
    <rPh sb="155" eb="156">
      <t>ガツ</t>
    </rPh>
    <rPh sb="157" eb="159">
      <t>ショウヨ</t>
    </rPh>
    <rPh sb="160" eb="163">
      <t>イチジキン</t>
    </rPh>
    <rPh sb="167" eb="169">
      <t>ジョウキン</t>
    </rPh>
    <rPh sb="170" eb="171">
      <t>ニン</t>
    </rPh>
    <rPh sb="171" eb="172">
      <t>ア</t>
    </rPh>
    <rPh sb="174" eb="176">
      <t>ヘイキン</t>
    </rPh>
    <rPh sb="183" eb="184">
      <t>エン</t>
    </rPh>
    <rPh sb="185" eb="188">
      <t>ヒジョウキン</t>
    </rPh>
    <rPh sb="189" eb="190">
      <t>ニン</t>
    </rPh>
    <rPh sb="190" eb="191">
      <t>ア</t>
    </rPh>
    <rPh sb="193" eb="195">
      <t>ヘイキン</t>
    </rPh>
    <rPh sb="201" eb="202">
      <t>エン</t>
    </rPh>
    <rPh sb="202" eb="204">
      <t>シキュウ</t>
    </rPh>
    <rPh sb="207" eb="209">
      <t>シハラ</t>
    </rPh>
    <rPh sb="209" eb="211">
      <t>コウモク</t>
    </rPh>
    <rPh sb="212" eb="214">
      <t>ショグウ</t>
    </rPh>
    <rPh sb="214" eb="216">
      <t>カイゼン</t>
    </rPh>
    <rPh sb="216" eb="218">
      <t>テアテ</t>
    </rPh>
    <phoneticPr fontId="7"/>
  </si>
  <si>
    <t>平成</t>
  </si>
  <si>
    <t>介護福祉士資格を有し、勤続年数10年以上の介護職員（他の法人での経験年数を含む）または介護福祉士資格を有し、勤続年数5年以上の介護職員（グループ法人内での経験年数）</t>
    <rPh sb="0" eb="2">
      <t>カイゴ</t>
    </rPh>
    <rPh sb="2" eb="5">
      <t>フクシシ</t>
    </rPh>
    <rPh sb="5" eb="7">
      <t>シカク</t>
    </rPh>
    <rPh sb="8" eb="9">
      <t>ユウ</t>
    </rPh>
    <rPh sb="11" eb="13">
      <t>キンゾク</t>
    </rPh>
    <rPh sb="13" eb="15">
      <t>ネンスウ</t>
    </rPh>
    <rPh sb="17" eb="18">
      <t>ネン</t>
    </rPh>
    <rPh sb="18" eb="20">
      <t>イジョウ</t>
    </rPh>
    <rPh sb="21" eb="23">
      <t>カイゴ</t>
    </rPh>
    <rPh sb="23" eb="25">
      <t>ショクイン</t>
    </rPh>
    <rPh sb="26" eb="27">
      <t>タ</t>
    </rPh>
    <rPh sb="28" eb="30">
      <t>ホウジン</t>
    </rPh>
    <rPh sb="32" eb="34">
      <t>ケイケン</t>
    </rPh>
    <rPh sb="34" eb="36">
      <t>ネンスウ</t>
    </rPh>
    <rPh sb="37" eb="38">
      <t>フク</t>
    </rPh>
    <rPh sb="43" eb="45">
      <t>カイゴ</t>
    </rPh>
    <rPh sb="45" eb="48">
      <t>フクシシ</t>
    </rPh>
    <rPh sb="48" eb="50">
      <t>シカク</t>
    </rPh>
    <rPh sb="51" eb="52">
      <t>ユウ</t>
    </rPh>
    <rPh sb="54" eb="56">
      <t>キンゾク</t>
    </rPh>
    <rPh sb="56" eb="58">
      <t>ネンスウ</t>
    </rPh>
    <rPh sb="59" eb="60">
      <t>ネン</t>
    </rPh>
    <rPh sb="60" eb="62">
      <t>イジョウ</t>
    </rPh>
    <rPh sb="63" eb="65">
      <t>カイゴ</t>
    </rPh>
    <rPh sb="65" eb="67">
      <t>ショクイン</t>
    </rPh>
    <rPh sb="72" eb="74">
      <t>ホウジン</t>
    </rPh>
    <rPh sb="74" eb="75">
      <t>ナイ</t>
    </rPh>
    <rPh sb="77" eb="79">
      <t>ケイケン</t>
    </rPh>
    <rPh sb="79" eb="81">
      <t>ネンスウ</t>
    </rPh>
    <phoneticPr fontId="7"/>
  </si>
  <si>
    <t>キャリアパスに記載</t>
    <rPh sb="7" eb="9">
      <t>キサイ</t>
    </rPh>
    <phoneticPr fontId="7"/>
  </si>
  <si>
    <t>毎月（A)経験・技能のある介護職員グループ平均8,000円、（B)他の介護職員グループ平均3,500円を支給する。支払項目は特定加算手当とする。</t>
    <rPh sb="0" eb="2">
      <t>マイツキ</t>
    </rPh>
    <rPh sb="5" eb="7">
      <t>ケイケン</t>
    </rPh>
    <rPh sb="8" eb="10">
      <t>ギノウ</t>
    </rPh>
    <rPh sb="13" eb="15">
      <t>カイゴ</t>
    </rPh>
    <rPh sb="15" eb="17">
      <t>ショクイン</t>
    </rPh>
    <rPh sb="21" eb="23">
      <t>ヘイキン</t>
    </rPh>
    <rPh sb="28" eb="29">
      <t>エン</t>
    </rPh>
    <rPh sb="33" eb="34">
      <t>タ</t>
    </rPh>
    <rPh sb="35" eb="37">
      <t>カイゴ</t>
    </rPh>
    <rPh sb="37" eb="39">
      <t>ショクイン</t>
    </rPh>
    <rPh sb="43" eb="45">
      <t>ヘイキン</t>
    </rPh>
    <rPh sb="50" eb="51">
      <t>エン</t>
    </rPh>
    <rPh sb="52" eb="54">
      <t>シキュウ</t>
    </rPh>
    <rPh sb="57" eb="59">
      <t>シハラ</t>
    </rPh>
    <rPh sb="59" eb="61">
      <t>コウモク</t>
    </rPh>
    <rPh sb="62" eb="64">
      <t>トクテイ</t>
    </rPh>
    <rPh sb="64" eb="66">
      <t>カサン</t>
    </rPh>
    <rPh sb="66" eb="68">
      <t>テアテ</t>
    </rPh>
    <phoneticPr fontId="7"/>
  </si>
  <si>
    <t>介護福祉士、介護支援専門員の受験対策講座をグループ法人内で実施</t>
    <rPh sb="0" eb="2">
      <t>カイゴ</t>
    </rPh>
    <rPh sb="2" eb="5">
      <t>フクシシ</t>
    </rPh>
    <rPh sb="6" eb="8">
      <t>カイゴ</t>
    </rPh>
    <rPh sb="8" eb="10">
      <t>シエン</t>
    </rPh>
    <rPh sb="10" eb="13">
      <t>センモンイン</t>
    </rPh>
    <rPh sb="14" eb="16">
      <t>ジュケン</t>
    </rPh>
    <rPh sb="16" eb="18">
      <t>タイサク</t>
    </rPh>
    <rPh sb="18" eb="20">
      <t>コウザ</t>
    </rPh>
    <rPh sb="25" eb="27">
      <t>ホウジン</t>
    </rPh>
    <rPh sb="27" eb="28">
      <t>ナイ</t>
    </rPh>
    <rPh sb="29" eb="31">
      <t>ジッシ</t>
    </rPh>
    <phoneticPr fontId="7"/>
  </si>
  <si>
    <t>継続</t>
  </si>
  <si>
    <t>加算Ⅰ</t>
  </si>
  <si>
    <t>特定加算Ⅰ</t>
  </si>
  <si>
    <t>特定加算Ⅱ</t>
  </si>
  <si>
    <t>サービス提供体制強化加算(Ⅱ)</t>
  </si>
  <si>
    <t>代表取締役</t>
    <rPh sb="0" eb="5">
      <t>ダイヒョウトリシマリヤク</t>
    </rPh>
    <phoneticPr fontId="7"/>
  </si>
  <si>
    <t>松前　静</t>
    <rPh sb="0" eb="2">
      <t>マツマエ</t>
    </rPh>
    <rPh sb="3" eb="4">
      <t>シズ</t>
    </rPh>
    <phoneticPr fontId="7"/>
  </si>
  <si>
    <t>毎月常勤１人当たり3,000円、非常勤は常勤換算により支給する。支払項目は処遇改善支援金手当とする。</t>
    <rPh sb="0" eb="2">
      <t>マイツキ</t>
    </rPh>
    <rPh sb="2" eb="4">
      <t>ジョウキン</t>
    </rPh>
    <rPh sb="5" eb="6">
      <t>ニン</t>
    </rPh>
    <rPh sb="6" eb="7">
      <t>ア</t>
    </rPh>
    <rPh sb="14" eb="15">
      <t>エン</t>
    </rPh>
    <rPh sb="16" eb="19">
      <t>ヒジョウキン</t>
    </rPh>
    <rPh sb="20" eb="22">
      <t>ジョウキン</t>
    </rPh>
    <rPh sb="22" eb="24">
      <t>カンサン</t>
    </rPh>
    <rPh sb="27" eb="29">
      <t>シキュウ</t>
    </rPh>
    <rPh sb="32" eb="34">
      <t>シハラ</t>
    </rPh>
    <rPh sb="34" eb="36">
      <t>コウモク</t>
    </rPh>
    <rPh sb="37" eb="44">
      <t>ショグウカイゼンシエンキン</t>
    </rPh>
    <rPh sb="44" eb="46">
      <t>テアテ</t>
    </rPh>
    <phoneticPr fontId="7"/>
  </si>
  <si>
    <t>愛知県</t>
    <rPh sb="0" eb="3">
      <t>アイチケン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</si>
</sst>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711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180975</xdr:rowOff>
        </xdr:from>
        <xdr:to>
          <xdr:col>5</xdr:col>
          <xdr:colOff>28575</xdr:colOff>
          <xdr:row>176</xdr:row>
          <xdr:rowOff>95250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142875</xdr:rowOff>
        </xdr:from>
        <xdr:to>
          <xdr:col>5</xdr:col>
          <xdr:colOff>28575</xdr:colOff>
          <xdr:row>177</xdr:row>
          <xdr:rowOff>76200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85725</xdr:rowOff>
        </xdr:from>
        <xdr:to>
          <xdr:col>5</xdr:col>
          <xdr:colOff>9525</xdr:colOff>
          <xdr:row>178</xdr:row>
          <xdr:rowOff>133350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8550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66675</xdr:rowOff>
        </xdr:from>
        <xdr:to>
          <xdr:col>5</xdr:col>
          <xdr:colOff>47625</xdr:colOff>
          <xdr:row>179</xdr:row>
          <xdr:rowOff>142875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175</xdr:row>
          <xdr:rowOff>161925</xdr:rowOff>
        </xdr:from>
        <xdr:to>
          <xdr:col>19</xdr:col>
          <xdr:colOff>47625</xdr:colOff>
          <xdr:row>176</xdr:row>
          <xdr:rowOff>85725</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95250</xdr:rowOff>
        </xdr:from>
        <xdr:to>
          <xdr:col>2</xdr:col>
          <xdr:colOff>19050</xdr:colOff>
          <xdr:row>183</xdr:row>
          <xdr:rowOff>142875</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123825</xdr:rowOff>
        </xdr:from>
        <xdr:to>
          <xdr:col>2</xdr:col>
          <xdr:colOff>19050</xdr:colOff>
          <xdr:row>184</xdr:row>
          <xdr:rowOff>142875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123825</xdr:rowOff>
        </xdr:from>
        <xdr:to>
          <xdr:col>2</xdr:col>
          <xdr:colOff>19050</xdr:colOff>
          <xdr:row>185</xdr:row>
          <xdr:rowOff>152400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238125</xdr:rowOff>
        </xdr:from>
        <xdr:to>
          <xdr:col>2</xdr:col>
          <xdr:colOff>19050</xdr:colOff>
          <xdr:row>189</xdr:row>
          <xdr:rowOff>152400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9525</xdr:colOff>
          <xdr:row>18</xdr:row>
          <xdr:rowOff>19050</xdr:rowOff>
        </xdr:from>
        <xdr:to>
          <xdr:col>20</xdr:col>
          <xdr:colOff>19050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19050</xdr:rowOff>
        </xdr:from>
        <xdr:to>
          <xdr:col>3</xdr:col>
          <xdr:colOff>47625</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200025</xdr:rowOff>
        </xdr:from>
        <xdr:to>
          <xdr:col>5</xdr:col>
          <xdr:colOff>38100</xdr:colOff>
          <xdr:row>90</xdr:row>
          <xdr:rowOff>190500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190500</xdr:rowOff>
        </xdr:from>
        <xdr:to>
          <xdr:col>5</xdr:col>
          <xdr:colOff>38100</xdr:colOff>
          <xdr:row>88</xdr:row>
          <xdr:rowOff>314325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190500</xdr:rowOff>
        </xdr:from>
        <xdr:to>
          <xdr:col>9</xdr:col>
          <xdr:colOff>47625</xdr:colOff>
          <xdr:row>88</xdr:row>
          <xdr:rowOff>314325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87</xdr:row>
          <xdr:rowOff>190500</xdr:rowOff>
        </xdr:from>
        <xdr:to>
          <xdr:col>15</xdr:col>
          <xdr:colOff>47625</xdr:colOff>
          <xdr:row>88</xdr:row>
          <xdr:rowOff>314325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87</xdr:row>
          <xdr:rowOff>190500</xdr:rowOff>
        </xdr:from>
        <xdr:to>
          <xdr:col>22</xdr:col>
          <xdr:colOff>47625</xdr:colOff>
          <xdr:row>88</xdr:row>
          <xdr:rowOff>314325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87</xdr:row>
          <xdr:rowOff>190500</xdr:rowOff>
        </xdr:from>
        <xdr:to>
          <xdr:col>26</xdr:col>
          <xdr:colOff>47625</xdr:colOff>
          <xdr:row>88</xdr:row>
          <xdr:rowOff>314325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89</xdr:row>
          <xdr:rowOff>200025</xdr:rowOff>
        </xdr:from>
        <xdr:to>
          <xdr:col>11</xdr:col>
          <xdr:colOff>57150</xdr:colOff>
          <xdr:row>90</xdr:row>
          <xdr:rowOff>190500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89</xdr:row>
          <xdr:rowOff>200025</xdr:rowOff>
        </xdr:from>
        <xdr:to>
          <xdr:col>18</xdr:col>
          <xdr:colOff>38100</xdr:colOff>
          <xdr:row>90</xdr:row>
          <xdr:rowOff>190500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94</xdr:row>
          <xdr:rowOff>133350</xdr:rowOff>
        </xdr:from>
        <xdr:to>
          <xdr:col>22</xdr:col>
          <xdr:colOff>57150</xdr:colOff>
          <xdr:row>95</xdr:row>
          <xdr:rowOff>190500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94</xdr:row>
          <xdr:rowOff>133350</xdr:rowOff>
        </xdr:from>
        <xdr:to>
          <xdr:col>26</xdr:col>
          <xdr:colOff>57150</xdr:colOff>
          <xdr:row>95</xdr:row>
          <xdr:rowOff>190500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98</xdr:row>
          <xdr:rowOff>809625</xdr:rowOff>
        </xdr:from>
        <xdr:to>
          <xdr:col>5</xdr:col>
          <xdr:colOff>38100</xdr:colOff>
          <xdr:row>100</xdr:row>
          <xdr:rowOff>95250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98</xdr:row>
          <xdr:rowOff>809625</xdr:rowOff>
        </xdr:from>
        <xdr:to>
          <xdr:col>14</xdr:col>
          <xdr:colOff>57150</xdr:colOff>
          <xdr:row>100</xdr:row>
          <xdr:rowOff>95250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98</xdr:row>
          <xdr:rowOff>809625</xdr:rowOff>
        </xdr:from>
        <xdr:to>
          <xdr:col>21</xdr:col>
          <xdr:colOff>57150</xdr:colOff>
          <xdr:row>100</xdr:row>
          <xdr:rowOff>95250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102</xdr:row>
          <xdr:rowOff>142875</xdr:rowOff>
        </xdr:from>
        <xdr:to>
          <xdr:col>5</xdr:col>
          <xdr:colOff>38100</xdr:colOff>
          <xdr:row>104</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100</xdr:row>
          <xdr:rowOff>152400</xdr:rowOff>
        </xdr:from>
        <xdr:to>
          <xdr:col>9</xdr:col>
          <xdr:colOff>47625</xdr:colOff>
          <xdr:row>102</xdr:row>
          <xdr:rowOff>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100</xdr:row>
          <xdr:rowOff>152400</xdr:rowOff>
        </xdr:from>
        <xdr:to>
          <xdr:col>15</xdr:col>
          <xdr:colOff>47625</xdr:colOff>
          <xdr:row>102</xdr:row>
          <xdr:rowOff>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100</xdr:row>
          <xdr:rowOff>152400</xdr:rowOff>
        </xdr:from>
        <xdr:to>
          <xdr:col>22</xdr:col>
          <xdr:colOff>57150</xdr:colOff>
          <xdr:row>101</xdr:row>
          <xdr:rowOff>323850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100</xdr:row>
          <xdr:rowOff>152400</xdr:rowOff>
        </xdr:from>
        <xdr:to>
          <xdr:col>25</xdr:col>
          <xdr:colOff>57150</xdr:colOff>
          <xdr:row>101</xdr:row>
          <xdr:rowOff>323850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102</xdr:row>
          <xdr:rowOff>142875</xdr:rowOff>
        </xdr:from>
        <xdr:to>
          <xdr:col>11</xdr:col>
          <xdr:colOff>57150</xdr:colOff>
          <xdr:row>104</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102</xdr:row>
          <xdr:rowOff>142875</xdr:rowOff>
        </xdr:from>
        <xdr:to>
          <xdr:col>18</xdr:col>
          <xdr:colOff>47625</xdr:colOff>
          <xdr:row>104</xdr:row>
          <xdr:rowOff>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108</xdr:row>
          <xdr:rowOff>114300</xdr:rowOff>
        </xdr:from>
        <xdr:to>
          <xdr:col>21</xdr:col>
          <xdr:colOff>47625</xdr:colOff>
          <xdr:row>110</xdr:row>
          <xdr:rowOff>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108</xdr:row>
          <xdr:rowOff>114300</xdr:rowOff>
        </xdr:from>
        <xdr:to>
          <xdr:col>25</xdr:col>
          <xdr:colOff>47625</xdr:colOff>
          <xdr:row>110</xdr:row>
          <xdr:rowOff>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152400</xdr:rowOff>
        </xdr:from>
        <xdr:to>
          <xdr:col>5</xdr:col>
          <xdr:colOff>28575</xdr:colOff>
          <xdr:row>102</xdr:row>
          <xdr:rowOff>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122</xdr:row>
          <xdr:rowOff>38100</xdr:rowOff>
        </xdr:from>
        <xdr:to>
          <xdr:col>29</xdr:col>
          <xdr:colOff>19050</xdr:colOff>
          <xdr:row>124</xdr:row>
          <xdr:rowOff>9525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304800</xdr:rowOff>
        </xdr:from>
        <xdr:to>
          <xdr:col>11</xdr:col>
          <xdr:colOff>19050</xdr:colOff>
          <xdr:row>140</xdr:row>
          <xdr:rowOff>9525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140</xdr:row>
          <xdr:rowOff>66675</xdr:rowOff>
        </xdr:from>
        <xdr:to>
          <xdr:col>11</xdr:col>
          <xdr:colOff>19050</xdr:colOff>
          <xdr:row>140</xdr:row>
          <xdr:rowOff>342900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141</xdr:row>
          <xdr:rowOff>9525</xdr:rowOff>
        </xdr:from>
        <xdr:to>
          <xdr:col>11</xdr:col>
          <xdr:colOff>38100</xdr:colOff>
          <xdr:row>141</xdr:row>
          <xdr:rowOff>400050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122</xdr:row>
          <xdr:rowOff>38100</xdr:rowOff>
        </xdr:from>
        <xdr:to>
          <xdr:col>33</xdr:col>
          <xdr:colOff>19050</xdr:colOff>
          <xdr:row>124</xdr:row>
          <xdr:rowOff>9525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127</xdr:row>
          <xdr:rowOff>66675</xdr:rowOff>
        </xdr:from>
        <xdr:to>
          <xdr:col>29</xdr:col>
          <xdr:colOff>19050</xdr:colOff>
          <xdr:row>129</xdr:row>
          <xdr:rowOff>28575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127</xdr:row>
          <xdr:rowOff>66675</xdr:rowOff>
        </xdr:from>
        <xdr:to>
          <xdr:col>33</xdr:col>
          <xdr:colOff>9525</xdr:colOff>
          <xdr:row>129</xdr:row>
          <xdr:rowOff>28575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132</xdr:row>
          <xdr:rowOff>142875</xdr:rowOff>
        </xdr:from>
        <xdr:to>
          <xdr:col>11</xdr:col>
          <xdr:colOff>28575</xdr:colOff>
          <xdr:row>132</xdr:row>
          <xdr:rowOff>400050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134</xdr:row>
          <xdr:rowOff>200025</xdr:rowOff>
        </xdr:from>
        <xdr:to>
          <xdr:col>11</xdr:col>
          <xdr:colOff>19050</xdr:colOff>
          <xdr:row>134</xdr:row>
          <xdr:rowOff>533400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136</xdr:row>
          <xdr:rowOff>114300</xdr:rowOff>
        </xdr:from>
        <xdr:to>
          <xdr:col>29</xdr:col>
          <xdr:colOff>19050</xdr:colOff>
          <xdr:row>138</xdr:row>
          <xdr:rowOff>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136</xdr:row>
          <xdr:rowOff>114300</xdr:rowOff>
        </xdr:from>
        <xdr:to>
          <xdr:col>33</xdr:col>
          <xdr:colOff>19050</xdr:colOff>
          <xdr:row>138</xdr:row>
          <xdr:rowOff>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474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176</xdr:row>
          <xdr:rowOff>133350</xdr:rowOff>
        </xdr:from>
        <xdr:to>
          <xdr:col>19</xdr:col>
          <xdr:colOff>47625</xdr:colOff>
          <xdr:row>177</xdr:row>
          <xdr:rowOff>85725</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177</xdr:row>
          <xdr:rowOff>123825</xdr:rowOff>
        </xdr:from>
        <xdr:to>
          <xdr:col>22</xdr:col>
          <xdr:colOff>47625</xdr:colOff>
          <xdr:row>178</xdr:row>
          <xdr:rowOff>76200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178</xdr:row>
          <xdr:rowOff>123825</xdr:rowOff>
        </xdr:from>
        <xdr:to>
          <xdr:col>27</xdr:col>
          <xdr:colOff>66675</xdr:colOff>
          <xdr:row>179</xdr:row>
          <xdr:rowOff>76200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86</xdr:row>
          <xdr:rowOff>9525</xdr:rowOff>
        </xdr:from>
        <xdr:to>
          <xdr:col>33</xdr:col>
          <xdr:colOff>66675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96</xdr:row>
          <xdr:rowOff>123825</xdr:rowOff>
        </xdr:from>
        <xdr:to>
          <xdr:col>33</xdr:col>
          <xdr:colOff>66675</xdr:colOff>
          <xdr:row>98</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119</xdr:row>
          <xdr:rowOff>161925</xdr:rowOff>
        </xdr:from>
        <xdr:to>
          <xdr:col>33</xdr:col>
          <xdr:colOff>66675</xdr:colOff>
          <xdr:row>121</xdr:row>
          <xdr:rowOff>19050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144</xdr:row>
          <xdr:rowOff>114300</xdr:rowOff>
        </xdr:from>
        <xdr:to>
          <xdr:col>33</xdr:col>
          <xdr:colOff>66675</xdr:colOff>
          <xdr:row>146</xdr:row>
          <xdr:rowOff>28575</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174</xdr:row>
          <xdr:rowOff>66675</xdr:rowOff>
        </xdr:from>
        <xdr:to>
          <xdr:col>33</xdr:col>
          <xdr:colOff>57150</xdr:colOff>
          <xdr:row>175</xdr:row>
          <xdr:rowOff>171450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61</xdr:row>
          <xdr:rowOff>0</xdr:rowOff>
        </xdr:from>
        <xdr:to>
          <xdr:col>11</xdr:col>
          <xdr:colOff>47625</xdr:colOff>
          <xdr:row>61</xdr:row>
          <xdr:rowOff>209550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62</xdr:row>
          <xdr:rowOff>219075</xdr:rowOff>
        </xdr:from>
        <xdr:to>
          <xdr:col>11</xdr:col>
          <xdr:colOff>38100</xdr:colOff>
          <xdr:row>63</xdr:row>
          <xdr:rowOff>209550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64</xdr:row>
          <xdr:rowOff>219075</xdr:rowOff>
        </xdr:from>
        <xdr:to>
          <xdr:col>11</xdr:col>
          <xdr:colOff>38100</xdr:colOff>
          <xdr:row>65</xdr:row>
          <xdr:rowOff>209550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66</xdr:row>
          <xdr:rowOff>219075</xdr:rowOff>
        </xdr:from>
        <xdr:to>
          <xdr:col>11</xdr:col>
          <xdr:colOff>38100</xdr:colOff>
          <xdr:row>67</xdr:row>
          <xdr:rowOff>200025</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180975</xdr:rowOff>
        </xdr:from>
        <xdr:to>
          <xdr:col>2</xdr:col>
          <xdr:colOff>19050</xdr:colOff>
          <xdr:row>187</xdr:row>
          <xdr:rowOff>200025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123825</xdr:rowOff>
        </xdr:from>
        <xdr:to>
          <xdr:col>2</xdr:col>
          <xdr:colOff>19050</xdr:colOff>
          <xdr:row>185</xdr:row>
          <xdr:rowOff>152400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285750</xdr:rowOff>
        </xdr:from>
        <xdr:to>
          <xdr:col>2</xdr:col>
          <xdr:colOff>19050</xdr:colOff>
          <xdr:row>188</xdr:row>
          <xdr:rowOff>200025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447675"/>
          <a:ext cx="7005638"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70</xdr:row>
          <xdr:rowOff>180975</xdr:rowOff>
        </xdr:from>
        <xdr:to>
          <xdr:col>3</xdr:col>
          <xdr:colOff>38100</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171450</xdr:rowOff>
        </xdr:from>
        <xdr:to>
          <xdr:col>3</xdr:col>
          <xdr:colOff>38100</xdr:colOff>
          <xdr:row>73</xdr:row>
          <xdr:rowOff>19050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190500</xdr:rowOff>
        </xdr:from>
        <xdr:to>
          <xdr:col>3</xdr:col>
          <xdr:colOff>38100</xdr:colOff>
          <xdr:row>73</xdr:row>
          <xdr:rowOff>238125</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276225</xdr:rowOff>
        </xdr:from>
        <xdr:to>
          <xdr:col>3</xdr:col>
          <xdr:colOff>38100</xdr:colOff>
          <xdr:row>74</xdr:row>
          <xdr:rowOff>190500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123825</xdr:rowOff>
        </xdr:from>
        <xdr:to>
          <xdr:col>2</xdr:col>
          <xdr:colOff>19050</xdr:colOff>
          <xdr:row>185</xdr:row>
          <xdr:rowOff>152400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133350</xdr:rowOff>
        </xdr:from>
        <xdr:to>
          <xdr:col>2</xdr:col>
          <xdr:colOff>19050</xdr:colOff>
          <xdr:row>186</xdr:row>
          <xdr:rowOff>152400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133350</xdr:rowOff>
        </xdr:from>
        <xdr:to>
          <xdr:col>2</xdr:col>
          <xdr:colOff>19050</xdr:colOff>
          <xdr:row>186</xdr:row>
          <xdr:rowOff>152400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148</xdr:row>
          <xdr:rowOff>142875</xdr:rowOff>
        </xdr:from>
        <xdr:to>
          <xdr:col>4</xdr:col>
          <xdr:colOff>190500</xdr:colOff>
          <xdr:row>149</xdr:row>
          <xdr:rowOff>152400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149</xdr:row>
          <xdr:rowOff>152400</xdr:rowOff>
        </xdr:from>
        <xdr:to>
          <xdr:col>4</xdr:col>
          <xdr:colOff>190500</xdr:colOff>
          <xdr:row>150</xdr:row>
          <xdr:rowOff>152400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150</xdr:row>
          <xdr:rowOff>142875</xdr:rowOff>
        </xdr:from>
        <xdr:to>
          <xdr:col>4</xdr:col>
          <xdr:colOff>190500</xdr:colOff>
          <xdr:row>151</xdr:row>
          <xdr:rowOff>152400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151</xdr:row>
          <xdr:rowOff>142875</xdr:rowOff>
        </xdr:from>
        <xdr:to>
          <xdr:col>4</xdr:col>
          <xdr:colOff>190500</xdr:colOff>
          <xdr:row>152</xdr:row>
          <xdr:rowOff>142875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152</xdr:row>
          <xdr:rowOff>133350</xdr:rowOff>
        </xdr:from>
        <xdr:to>
          <xdr:col>4</xdr:col>
          <xdr:colOff>190500</xdr:colOff>
          <xdr:row>153</xdr:row>
          <xdr:rowOff>142875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153</xdr:row>
          <xdr:rowOff>276225</xdr:rowOff>
        </xdr:from>
        <xdr:to>
          <xdr:col>4</xdr:col>
          <xdr:colOff>190500</xdr:colOff>
          <xdr:row>154</xdr:row>
          <xdr:rowOff>142875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154</xdr:row>
          <xdr:rowOff>133350</xdr:rowOff>
        </xdr:from>
        <xdr:to>
          <xdr:col>4</xdr:col>
          <xdr:colOff>190500</xdr:colOff>
          <xdr:row>155</xdr:row>
          <xdr:rowOff>142875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155</xdr:row>
          <xdr:rowOff>133350</xdr:rowOff>
        </xdr:from>
        <xdr:to>
          <xdr:col>4</xdr:col>
          <xdr:colOff>190500</xdr:colOff>
          <xdr:row>156</xdr:row>
          <xdr:rowOff>142875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156</xdr:row>
          <xdr:rowOff>133350</xdr:rowOff>
        </xdr:from>
        <xdr:to>
          <xdr:col>4</xdr:col>
          <xdr:colOff>190500</xdr:colOff>
          <xdr:row>157</xdr:row>
          <xdr:rowOff>133350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157</xdr:row>
          <xdr:rowOff>123825</xdr:rowOff>
        </xdr:from>
        <xdr:to>
          <xdr:col>4</xdr:col>
          <xdr:colOff>190500</xdr:colOff>
          <xdr:row>158</xdr:row>
          <xdr:rowOff>133350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158</xdr:row>
          <xdr:rowOff>238125</xdr:rowOff>
        </xdr:from>
        <xdr:to>
          <xdr:col>4</xdr:col>
          <xdr:colOff>190500</xdr:colOff>
          <xdr:row>159</xdr:row>
          <xdr:rowOff>133350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159</xdr:row>
          <xdr:rowOff>123825</xdr:rowOff>
        </xdr:from>
        <xdr:to>
          <xdr:col>4</xdr:col>
          <xdr:colOff>190500</xdr:colOff>
          <xdr:row>160</xdr:row>
          <xdr:rowOff>133350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160</xdr:row>
          <xdr:rowOff>123825</xdr:rowOff>
        </xdr:from>
        <xdr:to>
          <xdr:col>4</xdr:col>
          <xdr:colOff>190500</xdr:colOff>
          <xdr:row>161</xdr:row>
          <xdr:rowOff>133350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161</xdr:row>
          <xdr:rowOff>209550</xdr:rowOff>
        </xdr:from>
        <xdr:to>
          <xdr:col>4</xdr:col>
          <xdr:colOff>190500</xdr:colOff>
          <xdr:row>162</xdr:row>
          <xdr:rowOff>123825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162</xdr:row>
          <xdr:rowOff>114300</xdr:rowOff>
        </xdr:from>
        <xdr:to>
          <xdr:col>4</xdr:col>
          <xdr:colOff>190500</xdr:colOff>
          <xdr:row>163</xdr:row>
          <xdr:rowOff>123825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163</xdr:row>
          <xdr:rowOff>114300</xdr:rowOff>
        </xdr:from>
        <xdr:to>
          <xdr:col>4</xdr:col>
          <xdr:colOff>190500</xdr:colOff>
          <xdr:row>164</xdr:row>
          <xdr:rowOff>114300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164</xdr:row>
          <xdr:rowOff>104775</xdr:rowOff>
        </xdr:from>
        <xdr:to>
          <xdr:col>4</xdr:col>
          <xdr:colOff>190500</xdr:colOff>
          <xdr:row>165</xdr:row>
          <xdr:rowOff>114300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165</xdr:row>
          <xdr:rowOff>104775</xdr:rowOff>
        </xdr:from>
        <xdr:to>
          <xdr:col>4</xdr:col>
          <xdr:colOff>190500</xdr:colOff>
          <xdr:row>166</xdr:row>
          <xdr:rowOff>114300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166</xdr:row>
          <xdr:rowOff>200025</xdr:rowOff>
        </xdr:from>
        <xdr:to>
          <xdr:col>4</xdr:col>
          <xdr:colOff>190500</xdr:colOff>
          <xdr:row>167</xdr:row>
          <xdr:rowOff>104775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167</xdr:row>
          <xdr:rowOff>95250</xdr:rowOff>
        </xdr:from>
        <xdr:to>
          <xdr:col>4</xdr:col>
          <xdr:colOff>190500</xdr:colOff>
          <xdr:row>168</xdr:row>
          <xdr:rowOff>104775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168</xdr:row>
          <xdr:rowOff>95250</xdr:rowOff>
        </xdr:from>
        <xdr:to>
          <xdr:col>4</xdr:col>
          <xdr:colOff>190500</xdr:colOff>
          <xdr:row>169</xdr:row>
          <xdr:rowOff>104775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169</xdr:row>
          <xdr:rowOff>95250</xdr:rowOff>
        </xdr:from>
        <xdr:to>
          <xdr:col>4</xdr:col>
          <xdr:colOff>190500</xdr:colOff>
          <xdr:row>170</xdr:row>
          <xdr:rowOff>104775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170</xdr:row>
          <xdr:rowOff>95250</xdr:rowOff>
        </xdr:from>
        <xdr:to>
          <xdr:col>4</xdr:col>
          <xdr:colOff>190500</xdr:colOff>
          <xdr:row>171</xdr:row>
          <xdr:rowOff>95250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171</xdr:row>
          <xdr:rowOff>85725</xdr:rowOff>
        </xdr:from>
        <xdr:to>
          <xdr:col>4</xdr:col>
          <xdr:colOff>190500</xdr:colOff>
          <xdr:row>172</xdr:row>
          <xdr:rowOff>95250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38100</xdr:rowOff>
        </xdr:from>
        <xdr:to>
          <xdr:col>2</xdr:col>
          <xdr:colOff>19050</xdr:colOff>
          <xdr:row>53</xdr:row>
          <xdr:rowOff>57150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38100</xdr:rowOff>
        </xdr:from>
        <xdr:to>
          <xdr:col>2</xdr:col>
          <xdr:colOff>19050</xdr:colOff>
          <xdr:row>54</xdr:row>
          <xdr:rowOff>57150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38100</xdr:rowOff>
        </xdr:from>
        <xdr:to>
          <xdr:col>2</xdr:col>
          <xdr:colOff>19050</xdr:colOff>
          <xdr:row>55</xdr:row>
          <xdr:rowOff>66675</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38100</xdr:rowOff>
        </xdr:from>
        <xdr:to>
          <xdr:col>2</xdr:col>
          <xdr:colOff>19050</xdr:colOff>
          <xdr:row>59</xdr:row>
          <xdr:rowOff>9525</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95250</xdr:rowOff>
        </xdr:from>
        <xdr:to>
          <xdr:col>2</xdr:col>
          <xdr:colOff>19050</xdr:colOff>
          <xdr:row>56</xdr:row>
          <xdr:rowOff>47625</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38100</xdr:rowOff>
        </xdr:from>
        <xdr:to>
          <xdr:col>2</xdr:col>
          <xdr:colOff>19050</xdr:colOff>
          <xdr:row>55</xdr:row>
          <xdr:rowOff>66675</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95250</xdr:rowOff>
        </xdr:from>
        <xdr:to>
          <xdr:col>2</xdr:col>
          <xdr:colOff>19050</xdr:colOff>
          <xdr:row>57</xdr:row>
          <xdr:rowOff>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38100</xdr:rowOff>
        </xdr:from>
        <xdr:to>
          <xdr:col>2</xdr:col>
          <xdr:colOff>19050</xdr:colOff>
          <xdr:row>55</xdr:row>
          <xdr:rowOff>66675</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38100</xdr:rowOff>
        </xdr:from>
        <xdr:to>
          <xdr:col>2</xdr:col>
          <xdr:colOff>19050</xdr:colOff>
          <xdr:row>51</xdr:row>
          <xdr:rowOff>257175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38100</xdr:rowOff>
        </xdr:from>
        <xdr:to>
          <xdr:col>2</xdr:col>
          <xdr:colOff>19050</xdr:colOff>
          <xdr:row>51</xdr:row>
          <xdr:rowOff>47625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41</xdr:row>
          <xdr:rowOff>38100</xdr:rowOff>
        </xdr:from>
        <xdr:to>
          <xdr:col>18</xdr:col>
          <xdr:colOff>38100</xdr:colOff>
          <xdr:row>42</xdr:row>
          <xdr:rowOff>28575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76200</xdr:rowOff>
        </xdr:from>
        <xdr:to>
          <xdr:col>13</xdr:col>
          <xdr:colOff>66675</xdr:colOff>
          <xdr:row>38</xdr:row>
          <xdr:rowOff>295275</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38100</xdr:rowOff>
        </xdr:from>
        <xdr:to>
          <xdr:col>5</xdr:col>
          <xdr:colOff>38100</xdr:colOff>
          <xdr:row>42</xdr:row>
          <xdr:rowOff>28575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41</xdr:row>
          <xdr:rowOff>38100</xdr:rowOff>
        </xdr:from>
        <xdr:to>
          <xdr:col>11</xdr:col>
          <xdr:colOff>66675</xdr:colOff>
          <xdr:row>42</xdr:row>
          <xdr:rowOff>28575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85725</xdr:rowOff>
        </xdr:from>
        <xdr:to>
          <xdr:col>9</xdr:col>
          <xdr:colOff>66675</xdr:colOff>
          <xdr:row>39</xdr:row>
          <xdr:rowOff>304800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85725</xdr:rowOff>
        </xdr:from>
        <xdr:to>
          <xdr:col>13</xdr:col>
          <xdr:colOff>66675</xdr:colOff>
          <xdr:row>39</xdr:row>
          <xdr:rowOff>304800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39</xdr:row>
          <xdr:rowOff>85725</xdr:rowOff>
        </xdr:from>
        <xdr:to>
          <xdr:col>27</xdr:col>
          <xdr:colOff>66675</xdr:colOff>
          <xdr:row>39</xdr:row>
          <xdr:rowOff>304800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38</xdr:row>
          <xdr:rowOff>76200</xdr:rowOff>
        </xdr:from>
        <xdr:to>
          <xdr:col>20</xdr:col>
          <xdr:colOff>66675</xdr:colOff>
          <xdr:row>38</xdr:row>
          <xdr:rowOff>295275</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39</xdr:row>
          <xdr:rowOff>85725</xdr:rowOff>
        </xdr:from>
        <xdr:to>
          <xdr:col>20</xdr:col>
          <xdr:colOff>66675</xdr:colOff>
          <xdr:row>39</xdr:row>
          <xdr:rowOff>304800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76200</xdr:rowOff>
        </xdr:from>
        <xdr:to>
          <xdr:col>9</xdr:col>
          <xdr:colOff>66675</xdr:colOff>
          <xdr:row>38</xdr:row>
          <xdr:rowOff>295275</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kuraen@aireikai.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11" sqref="Z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t="s">
        <v>523</v>
      </c>
      <c r="D11" s="895"/>
      <c r="E11" s="895"/>
      <c r="F11" s="895"/>
      <c r="G11" s="895"/>
      <c r="H11" s="895"/>
      <c r="I11" s="895"/>
      <c r="J11" s="895"/>
      <c r="K11" s="895"/>
      <c r="L11" s="896"/>
      <c r="M11" s="170"/>
      <c r="N11" s="948" t="s">
        <v>461</v>
      </c>
      <c r="O11" s="949"/>
      <c r="P11" s="949"/>
      <c r="Q11" s="949"/>
      <c r="R11" s="950" t="s">
        <v>536</v>
      </c>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t="s">
        <v>525</v>
      </c>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t="s">
        <v>524</v>
      </c>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v>4</v>
      </c>
      <c r="N17" s="175">
        <v>9</v>
      </c>
      <c r="O17" s="175">
        <v>1</v>
      </c>
      <c r="P17" s="176" t="s">
        <v>124</v>
      </c>
      <c r="Q17" s="175">
        <v>0</v>
      </c>
      <c r="R17" s="175">
        <v>8</v>
      </c>
      <c r="S17" s="175">
        <v>7</v>
      </c>
      <c r="T17" s="177">
        <v>1</v>
      </c>
      <c r="U17" s="178"/>
      <c r="V17" s="179"/>
      <c r="W17" s="179"/>
      <c r="X17" s="179"/>
      <c r="Y17" s="170"/>
      <c r="Z17" s="170"/>
      <c r="AA17" s="170"/>
      <c r="AC17" t="str">
        <f>CONCATENATE(M17,N17,O17,P17,Q17,R17,S17,T17)</f>
        <v>491－0871</v>
      </c>
    </row>
    <row r="18" spans="1:29" ht="20.100000000000001" customHeight="1">
      <c r="A18" s="170"/>
      <c r="B18" s="180"/>
      <c r="C18" s="901" t="s">
        <v>122</v>
      </c>
      <c r="D18" s="901"/>
      <c r="E18" s="901"/>
      <c r="F18" s="901"/>
      <c r="G18" s="901"/>
      <c r="H18" s="901"/>
      <c r="I18" s="901"/>
      <c r="J18" s="901"/>
      <c r="K18" s="901"/>
      <c r="L18" s="902"/>
      <c r="M18" s="918" t="s">
        <v>526</v>
      </c>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t="s">
        <v>527</v>
      </c>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t="s">
        <v>528</v>
      </c>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t="s">
        <v>530</v>
      </c>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t="s">
        <v>529</v>
      </c>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t="s">
        <v>531</v>
      </c>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t="s">
        <v>532</v>
      </c>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t="s">
        <v>533</v>
      </c>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v>2</v>
      </c>
      <c r="D33" s="185">
        <v>3</v>
      </c>
      <c r="E33" s="185">
        <v>7</v>
      </c>
      <c r="F33" s="185">
        <v>2</v>
      </c>
      <c r="G33" s="185">
        <v>2</v>
      </c>
      <c r="H33" s="185">
        <v>0</v>
      </c>
      <c r="I33" s="185">
        <v>2</v>
      </c>
      <c r="J33" s="185">
        <v>2</v>
      </c>
      <c r="K33" s="185">
        <v>6</v>
      </c>
      <c r="L33" s="186">
        <v>3</v>
      </c>
      <c r="M33" s="911" t="s">
        <v>523</v>
      </c>
      <c r="N33" s="912"/>
      <c r="O33" s="912"/>
      <c r="P33" s="912"/>
      <c r="Q33" s="913"/>
      <c r="R33" s="911" t="s">
        <v>536</v>
      </c>
      <c r="S33" s="912"/>
      <c r="T33" s="912"/>
      <c r="U33" s="912"/>
      <c r="V33" s="913"/>
      <c r="W33" s="859" t="s">
        <v>523</v>
      </c>
      <c r="X33" s="187" t="s">
        <v>537</v>
      </c>
      <c r="Y33" s="187" t="s">
        <v>539</v>
      </c>
      <c r="Z33" s="680">
        <v>544584</v>
      </c>
      <c r="AA33" s="675">
        <v>10.14</v>
      </c>
      <c r="AB33" s="677">
        <v>598262</v>
      </c>
    </row>
    <row r="34" spans="1:28" ht="37.5" customHeight="1">
      <c r="A34" s="170"/>
      <c r="B34" s="171">
        <f>B33+1</f>
        <v>2</v>
      </c>
      <c r="C34" s="188">
        <v>2</v>
      </c>
      <c r="D34" s="189">
        <v>3</v>
      </c>
      <c r="E34" s="189">
        <v>7</v>
      </c>
      <c r="F34" s="189">
        <v>2</v>
      </c>
      <c r="G34" s="189">
        <v>2</v>
      </c>
      <c r="H34" s="189">
        <v>0</v>
      </c>
      <c r="I34" s="189">
        <v>2</v>
      </c>
      <c r="J34" s="189">
        <v>2</v>
      </c>
      <c r="K34" s="189">
        <v>6</v>
      </c>
      <c r="L34" s="190">
        <v>3</v>
      </c>
      <c r="M34" s="889" t="s">
        <v>523</v>
      </c>
      <c r="N34" s="890"/>
      <c r="O34" s="890"/>
      <c r="P34" s="890"/>
      <c r="Q34" s="891"/>
      <c r="R34" s="889" t="s">
        <v>536</v>
      </c>
      <c r="S34" s="890"/>
      <c r="T34" s="890"/>
      <c r="U34" s="890"/>
      <c r="V34" s="891"/>
      <c r="W34" s="860" t="s">
        <v>523</v>
      </c>
      <c r="X34" s="192" t="s">
        <v>537</v>
      </c>
      <c r="Y34" s="192" t="s">
        <v>540</v>
      </c>
      <c r="Z34" s="681">
        <v>0</v>
      </c>
      <c r="AA34" s="676">
        <v>10.14</v>
      </c>
      <c r="AB34" s="678">
        <v>0</v>
      </c>
    </row>
    <row r="35" spans="1:28" ht="37.5" customHeight="1">
      <c r="A35" s="170"/>
      <c r="B35" s="171">
        <f t="shared" ref="B35:B71" si="0">B34+1</f>
        <v>3</v>
      </c>
      <c r="C35" s="188">
        <v>2</v>
      </c>
      <c r="D35" s="189">
        <v>3</v>
      </c>
      <c r="E35" s="189">
        <v>7</v>
      </c>
      <c r="F35" s="189">
        <v>2</v>
      </c>
      <c r="G35" s="189">
        <v>2</v>
      </c>
      <c r="H35" s="189">
        <v>0</v>
      </c>
      <c r="I35" s="189">
        <v>2</v>
      </c>
      <c r="J35" s="189">
        <v>2</v>
      </c>
      <c r="K35" s="189">
        <v>5</v>
      </c>
      <c r="L35" s="190">
        <v>5</v>
      </c>
      <c r="M35" s="889" t="s">
        <v>523</v>
      </c>
      <c r="N35" s="890"/>
      <c r="O35" s="890"/>
      <c r="P35" s="890"/>
      <c r="Q35" s="891"/>
      <c r="R35" s="889" t="s">
        <v>536</v>
      </c>
      <c r="S35" s="890"/>
      <c r="T35" s="890"/>
      <c r="U35" s="890"/>
      <c r="V35" s="891"/>
      <c r="W35" s="860" t="s">
        <v>523</v>
      </c>
      <c r="X35" s="192" t="s">
        <v>538</v>
      </c>
      <c r="Y35" s="192" t="s">
        <v>541</v>
      </c>
      <c r="Z35" s="681">
        <v>689397</v>
      </c>
      <c r="AA35" s="676">
        <v>10.14</v>
      </c>
      <c r="AB35" s="678">
        <v>729881</v>
      </c>
    </row>
    <row r="36" spans="1:28" ht="37.5" customHeight="1">
      <c r="A36" s="170"/>
      <c r="B36" s="171">
        <f t="shared" si="0"/>
        <v>4</v>
      </c>
      <c r="C36" s="188">
        <v>2</v>
      </c>
      <c r="D36" s="189">
        <v>3</v>
      </c>
      <c r="E36" s="189">
        <v>7</v>
      </c>
      <c r="F36" s="189">
        <v>2</v>
      </c>
      <c r="G36" s="189">
        <v>2</v>
      </c>
      <c r="H36" s="189">
        <v>0</v>
      </c>
      <c r="I36" s="189">
        <v>2</v>
      </c>
      <c r="J36" s="189">
        <v>2</v>
      </c>
      <c r="K36" s="189">
        <v>5</v>
      </c>
      <c r="L36" s="190">
        <v>5</v>
      </c>
      <c r="M36" s="889" t="s">
        <v>523</v>
      </c>
      <c r="N36" s="890"/>
      <c r="O36" s="890"/>
      <c r="P36" s="890"/>
      <c r="Q36" s="891"/>
      <c r="R36" s="889" t="s">
        <v>536</v>
      </c>
      <c r="S36" s="890"/>
      <c r="T36" s="890"/>
      <c r="U36" s="890"/>
      <c r="V36" s="891"/>
      <c r="W36" s="860" t="s">
        <v>523</v>
      </c>
      <c r="X36" s="192" t="s">
        <v>538</v>
      </c>
      <c r="Y36" s="192" t="s">
        <v>446</v>
      </c>
      <c r="Z36" s="681">
        <v>65997</v>
      </c>
      <c r="AA36" s="676">
        <v>10.14</v>
      </c>
      <c r="AB36" s="678">
        <v>70524</v>
      </c>
    </row>
    <row r="37" spans="1:28" ht="37.5" customHeight="1">
      <c r="A37" s="170"/>
      <c r="B37" s="171">
        <f t="shared" si="0"/>
        <v>5</v>
      </c>
      <c r="C37" s="188">
        <v>2</v>
      </c>
      <c r="D37" s="189">
        <v>3</v>
      </c>
      <c r="E37" s="189">
        <v>7</v>
      </c>
      <c r="F37" s="189">
        <v>2</v>
      </c>
      <c r="G37" s="189">
        <v>2</v>
      </c>
      <c r="H37" s="189">
        <v>0</v>
      </c>
      <c r="I37" s="189">
        <v>2</v>
      </c>
      <c r="J37" s="189">
        <v>2</v>
      </c>
      <c r="K37" s="189">
        <v>5</v>
      </c>
      <c r="L37" s="190">
        <v>5</v>
      </c>
      <c r="M37" s="889" t="s">
        <v>534</v>
      </c>
      <c r="N37" s="890"/>
      <c r="O37" s="890"/>
      <c r="P37" s="890"/>
      <c r="Q37" s="891"/>
      <c r="R37" s="889" t="s">
        <v>536</v>
      </c>
      <c r="S37" s="890"/>
      <c r="T37" s="890"/>
      <c r="U37" s="890"/>
      <c r="V37" s="891"/>
      <c r="W37" s="860" t="s">
        <v>523</v>
      </c>
      <c r="X37" s="192" t="s">
        <v>538</v>
      </c>
      <c r="Y37" s="192" t="s">
        <v>446</v>
      </c>
      <c r="Z37" s="681">
        <v>2004</v>
      </c>
      <c r="AA37" s="676">
        <v>10.14</v>
      </c>
      <c r="AB37" s="678">
        <v>2171</v>
      </c>
    </row>
    <row r="38" spans="1:28" ht="37.5" customHeight="1">
      <c r="A38" s="170"/>
      <c r="B38" s="171">
        <f t="shared" si="0"/>
        <v>6</v>
      </c>
      <c r="C38" s="188">
        <v>2</v>
      </c>
      <c r="D38" s="189">
        <v>3</v>
      </c>
      <c r="E38" s="189">
        <v>7</v>
      </c>
      <c r="F38" s="189">
        <v>2</v>
      </c>
      <c r="G38" s="189">
        <v>2</v>
      </c>
      <c r="H38" s="189">
        <v>0</v>
      </c>
      <c r="I38" s="189">
        <v>2</v>
      </c>
      <c r="J38" s="189">
        <v>2</v>
      </c>
      <c r="K38" s="189">
        <v>5</v>
      </c>
      <c r="L38" s="190">
        <v>5</v>
      </c>
      <c r="M38" s="889" t="s">
        <v>535</v>
      </c>
      <c r="N38" s="890"/>
      <c r="O38" s="890"/>
      <c r="P38" s="890"/>
      <c r="Q38" s="891"/>
      <c r="R38" s="889" t="s">
        <v>536</v>
      </c>
      <c r="S38" s="890"/>
      <c r="T38" s="890"/>
      <c r="U38" s="890"/>
      <c r="V38" s="891"/>
      <c r="W38" s="860" t="s">
        <v>523</v>
      </c>
      <c r="X38" s="192" t="s">
        <v>538</v>
      </c>
      <c r="Y38" s="192" t="s">
        <v>446</v>
      </c>
      <c r="Z38" s="681">
        <v>0</v>
      </c>
      <c r="AA38" s="676">
        <v>10.14</v>
      </c>
      <c r="AB38" s="678">
        <v>0</v>
      </c>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522DA261-15E7-467E-82B1-60CA6E15FED8}"/>
  </hyperlinks>
  <pageMargins left="0.70866141732283472" right="0.70866141732283472" top="0.74803149606299213" bottom="0.74803149606299213" header="0.31496062992125984" footer="0.31496062992125984"/>
  <pageSetup paperSize="9" scale="48"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V202"/>
  <sheetViews>
    <sheetView tabSelected="1" view="pageBreakPreview" topLeftCell="A184" zoomScale="120" zoomScaleNormal="120" zoomScaleSheetLayoutView="120" workbookViewId="0">
      <selection activeCell="J199" sqref="J199"/>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一宮市</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v>4</v>
      </c>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ユウゲンガイシャサクラハーティーケア</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有限会社さくらハーティーケア</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491－0871</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愛知県一宮市浅野字居森野８４番地</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ツチヤ　ミキ</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土屋　美希</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0586-81-8001</v>
      </c>
      <c r="L15" s="1020"/>
      <c r="M15" s="1020"/>
      <c r="N15" s="1020"/>
      <c r="O15" s="1020"/>
      <c r="P15" s="1018" t="s">
        <v>1</v>
      </c>
      <c r="Q15" s="1018"/>
      <c r="R15" s="1018"/>
      <c r="S15" s="1018"/>
      <c r="T15" s="1020" t="str">
        <f>IF(基本情報入力シート!M25="","",基本情報入力シート!M25)</f>
        <v>0586-81-8002</v>
      </c>
      <c r="U15" s="1020"/>
      <c r="V15" s="1020"/>
      <c r="W15" s="1020"/>
      <c r="X15" s="1020"/>
      <c r="Y15" s="1018" t="s">
        <v>168</v>
      </c>
      <c r="Z15" s="1018"/>
      <c r="AA15" s="1018"/>
      <c r="AB15" s="1018"/>
      <c r="AC15" s="1021" t="str">
        <f>IF(基本情報入力シート!M26="","",基本情報入力シート!M26)</f>
        <v>sakuraen@aireikai.jp</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f>IF(AD4="","",AD4)</f>
        <v>4</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f>IF('別紙様式2-2 個表_処遇'!O5="","",'別紙様式2-2 個表_処遇'!O5)</f>
        <v>10871148</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f>IFERROR(AB30-AB31,"")</f>
        <v>10900000</v>
      </c>
      <c r="AC29" s="1191"/>
      <c r="AD29" s="1191"/>
      <c r="AE29" s="1191"/>
      <c r="AF29" s="1191"/>
      <c r="AG29" s="1191"/>
      <c r="AH29" s="1191"/>
      <c r="AI29" s="1197" t="s">
        <v>2</v>
      </c>
      <c r="AJ29" s="1039"/>
      <c r="AK29" s="54" t="s">
        <v>257</v>
      </c>
      <c r="AL29" s="61" t="str">
        <f>IF(AB28="","",IF(AB29="","",IF(AB29&gt;AB28,"○","☓")))</f>
        <v>○</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v>102334054</v>
      </c>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f>IF((AB32-AB33-AB34-AB35)=0,"",(AB32-AB33-AB34-AB35))</f>
        <v>91434054</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v>104498828</v>
      </c>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v>10900121</v>
      </c>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v>2164653</v>
      </c>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v>0</v>
      </c>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v>4</v>
      </c>
      <c r="Q36" s="1193"/>
      <c r="R36" s="268" t="s">
        <v>12</v>
      </c>
      <c r="S36" s="1193">
        <v>7</v>
      </c>
      <c r="T36" s="1193"/>
      <c r="U36" s="268" t="s">
        <v>13</v>
      </c>
      <c r="V36" s="1004" t="s">
        <v>14</v>
      </c>
      <c r="W36" s="1004"/>
      <c r="X36" s="268" t="s">
        <v>34</v>
      </c>
      <c r="Y36" s="268"/>
      <c r="Z36" s="1193">
        <v>5</v>
      </c>
      <c r="AA36" s="1193"/>
      <c r="AB36" s="268" t="s">
        <v>12</v>
      </c>
      <c r="AC36" s="1193">
        <v>6</v>
      </c>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f>IF(AD4="","",AD4)</f>
        <v>4</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f>IF('別紙様式2-3 個表_特定'!O5="","",'別紙様式2-3 個表_特定'!O5)</f>
        <v>2298660</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f>IFERROR(AB51-AB52,"")</f>
        <v>2300000</v>
      </c>
      <c r="AC50" s="1191"/>
      <c r="AD50" s="1191"/>
      <c r="AE50" s="1191"/>
      <c r="AF50" s="1191"/>
      <c r="AG50" s="1191"/>
      <c r="AH50" s="1191"/>
      <c r="AI50" s="1197" t="s">
        <v>2</v>
      </c>
      <c r="AJ50" s="1039"/>
      <c r="AK50" s="54" t="s">
        <v>257</v>
      </c>
      <c r="AL50" s="61" t="str">
        <f>IF(AB49="","",IF(AB50="","",IF(AB50&gt;AB49,"○","☓")))</f>
        <v>○</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v>122495535</v>
      </c>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f>IF((AB53-AB54-AB55-AB56)=0,"",(AB53-AB54-AB55-AB56))</f>
        <v>120195535</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v>133260309</v>
      </c>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v>10900121</v>
      </c>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v>2164653</v>
      </c>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v>0</v>
      </c>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v>43849086</v>
      </c>
      <c r="T58" s="1160"/>
      <c r="U58" s="1160"/>
      <c r="V58" s="1160"/>
      <c r="W58" s="1161"/>
      <c r="X58" s="305" t="s">
        <v>274</v>
      </c>
      <c r="Y58" s="1159">
        <v>48507165</v>
      </c>
      <c r="Z58" s="1160"/>
      <c r="AA58" s="1160"/>
      <c r="AB58" s="1160"/>
      <c r="AC58" s="1161"/>
      <c r="AD58" s="306" t="s">
        <v>274</v>
      </c>
      <c r="AE58" s="1159">
        <v>27839284</v>
      </c>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v>151.69999999999999</v>
      </c>
      <c r="T59" s="1163"/>
      <c r="U59" s="1163"/>
      <c r="V59" s="1163"/>
      <c r="W59" s="1164"/>
      <c r="X59" s="312" t="s">
        <v>483</v>
      </c>
      <c r="Y59" s="1162">
        <v>212.4</v>
      </c>
      <c r="Z59" s="1163"/>
      <c r="AA59" s="1163"/>
      <c r="AB59" s="1163"/>
      <c r="AC59" s="1164"/>
      <c r="AD59" s="313" t="s">
        <v>483</v>
      </c>
      <c r="AE59" s="1162">
        <v>72</v>
      </c>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v>12.6</v>
      </c>
      <c r="T60" s="1200"/>
      <c r="U60" s="1200"/>
      <c r="V60" s="1200"/>
      <c r="W60" s="1201"/>
      <c r="X60" s="312" t="s">
        <v>483</v>
      </c>
      <c r="Y60" s="1199">
        <v>17.7</v>
      </c>
      <c r="Z60" s="1200"/>
      <c r="AA60" s="1200"/>
      <c r="AB60" s="1200"/>
      <c r="AC60" s="1201"/>
      <c r="AD60" s="313" t="s">
        <v>483</v>
      </c>
      <c r="AE60" s="1199">
        <v>6</v>
      </c>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f>IFERROR(ROUND(S58/S59,),"")</f>
        <v>289051</v>
      </c>
      <c r="T61" s="1157"/>
      <c r="U61" s="1157"/>
      <c r="V61" s="1157"/>
      <c r="W61" s="1158"/>
      <c r="X61" s="312" t="s">
        <v>2</v>
      </c>
      <c r="Y61" s="1156">
        <f>IFERROR(ROUND(Y58/Y59,),"")</f>
        <v>228376</v>
      </c>
      <c r="Z61" s="1157"/>
      <c r="AA61" s="1157"/>
      <c r="AB61" s="1157"/>
      <c r="AC61" s="1158"/>
      <c r="AD61" s="312" t="s">
        <v>2</v>
      </c>
      <c r="AE61" s="1156">
        <f>IFERROR(ROUND(AE58/AE59,),"")</f>
        <v>386657</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15203</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2298693.5999999996</v>
      </c>
      <c r="O63" s="1219"/>
      <c r="P63" s="1219"/>
      <c r="Q63" s="324" t="s">
        <v>274</v>
      </c>
      <c r="R63" s="325" t="s">
        <v>275</v>
      </c>
      <c r="S63" s="326" t="s">
        <v>205</v>
      </c>
      <c r="T63" s="1113">
        <f>S60*S62*12</f>
        <v>2298693.5999999996</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15202.777777777779</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f>IF((CEILING(AP66,1)-AP66)-2*(CEILING(AQ66,1)-AQ66)&gt;=0,CEILING(AP66,1),CEILING(AP66+AU67/S60/12,1))</f>
        <v>8931</v>
      </c>
      <c r="T64" s="1150"/>
      <c r="U64" s="1150"/>
      <c r="V64" s="1150"/>
      <c r="W64" s="1150"/>
      <c r="X64" s="329" t="s">
        <v>274</v>
      </c>
      <c r="Y64" s="1149">
        <f>IF((CEILING(AP66,1)-AP66)-2*(CEILING(AQ66,1)-AQ66)&gt;=0,CEILING(AQ66,1),FLOOR(AQ66,1))</f>
        <v>4465</v>
      </c>
      <c r="Z64" s="1150"/>
      <c r="AA64" s="1150"/>
      <c r="AB64" s="1150"/>
      <c r="AC64" s="1150"/>
      <c r="AD64" s="329" t="s">
        <v>274</v>
      </c>
      <c r="AE64" s="1239"/>
      <c r="AF64" s="1240"/>
      <c r="AG64" s="1240"/>
      <c r="AH64" s="1240"/>
      <c r="AI64" s="1240"/>
      <c r="AJ64" s="1241"/>
      <c r="AN64" s="85"/>
      <c r="AO64" s="86" t="s">
        <v>150</v>
      </c>
      <c r="AP64" s="87">
        <f>AB49</f>
        <v>2298660</v>
      </c>
      <c r="AQ64" s="88"/>
      <c r="AR64" s="87"/>
      <c r="AS64" s="89">
        <f>SUM(AP64:AR64)</f>
        <v>2298660</v>
      </c>
      <c r="AT64" s="90">
        <f>AS64-S60*S62*12</f>
        <v>-33.599999999627471</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f>SUM(T65,Z65)</f>
        <v>2298733.2000000002</v>
      </c>
      <c r="O65" s="1219"/>
      <c r="P65" s="1219"/>
      <c r="Q65" s="324" t="s">
        <v>274</v>
      </c>
      <c r="R65" s="325" t="s">
        <v>275</v>
      </c>
      <c r="S65" s="330" t="s">
        <v>205</v>
      </c>
      <c r="T65" s="1219">
        <f>S60*S64*12</f>
        <v>1350367.2</v>
      </c>
      <c r="U65" s="1219"/>
      <c r="V65" s="1219"/>
      <c r="W65" s="324" t="s">
        <v>274</v>
      </c>
      <c r="X65" s="331" t="s">
        <v>275</v>
      </c>
      <c r="Y65" s="330" t="s">
        <v>205</v>
      </c>
      <c r="Z65" s="1219">
        <f>Y60*Y64*12</f>
        <v>948366</v>
      </c>
      <c r="AA65" s="1219"/>
      <c r="AB65" s="1219"/>
      <c r="AC65" s="324" t="s">
        <v>274</v>
      </c>
      <c r="AD65" s="331" t="s">
        <v>275</v>
      </c>
      <c r="AE65" s="1242"/>
      <c r="AF65" s="1243"/>
      <c r="AG65" s="1243"/>
      <c r="AH65" s="1243"/>
      <c r="AI65" s="1243"/>
      <c r="AJ65" s="1244"/>
      <c r="AN65" s="80" t="s">
        <v>157</v>
      </c>
      <c r="AO65" s="95" t="s">
        <v>155</v>
      </c>
      <c r="AP65" s="96">
        <v>2</v>
      </c>
      <c r="AQ65" s="97">
        <v>1</v>
      </c>
      <c r="AR65" s="98"/>
      <c r="AS65" s="77"/>
      <c r="AT65" s="83"/>
      <c r="AU65" s="77"/>
      <c r="AV65" s="84" t="s">
        <v>270</v>
      </c>
      <c r="AW65" s="99">
        <f>AP65/AQ65</f>
        <v>2</v>
      </c>
      <c r="AX65" s="100" t="str">
        <f>IF(AW65&lt;1,"  1を上回るよう配分比率を設定してください。","  1を上回ることを確認してください")</f>
        <v xml:space="preserve">  1を上回ることを確認してください</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#DIV/0!</v>
      </c>
      <c r="T66" s="1152"/>
      <c r="U66" s="1152"/>
      <c r="V66" s="1152"/>
      <c r="W66" s="1152"/>
      <c r="X66" s="322" t="s">
        <v>274</v>
      </c>
      <c r="Y66" s="1151" t="e">
        <f>IF((CEILING(AP69,1)-AP69)-2*(CEILING(AQ69,1)-AQ69)&gt;=0,CEILING(AQ69,1),FLOOR(AQ69,1))</f>
        <v>#DIV/0!</v>
      </c>
      <c r="Z66" s="1152"/>
      <c r="AA66" s="1152"/>
      <c r="AB66" s="1152"/>
      <c r="AC66" s="1152"/>
      <c r="AD66" s="322" t="s">
        <v>274</v>
      </c>
      <c r="AE66" s="1152" t="e">
        <f>IF(Y66-2*(CEILING(AR69,1))&gt;=0,CEILING(AR69,1),FLOOR(AR69,1))</f>
        <v>#DIV/0!</v>
      </c>
      <c r="AF66" s="1152"/>
      <c r="AG66" s="1152"/>
      <c r="AH66" s="1152"/>
      <c r="AI66" s="1152"/>
      <c r="AJ66" s="333" t="s">
        <v>274</v>
      </c>
      <c r="AN66" s="102"/>
      <c r="AO66" s="103" t="s">
        <v>149</v>
      </c>
      <c r="AP66" s="104">
        <f>AB49/((S60+Y60/AW65)*12)</f>
        <v>8930.3030303030318</v>
      </c>
      <c r="AQ66" s="105">
        <f>AB49/((S60*AW65+Y60)*12)</f>
        <v>4465.1515151515159</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#DIV/0!</v>
      </c>
      <c r="O67" s="1113"/>
      <c r="P67" s="1113"/>
      <c r="Q67" s="327" t="s">
        <v>274</v>
      </c>
      <c r="R67" s="335" t="s">
        <v>275</v>
      </c>
      <c r="S67" s="326" t="s">
        <v>205</v>
      </c>
      <c r="T67" s="1113" t="e">
        <f>S60*S66*12</f>
        <v>#DIV/0!</v>
      </c>
      <c r="U67" s="1113"/>
      <c r="V67" s="1113"/>
      <c r="W67" s="327" t="s">
        <v>274</v>
      </c>
      <c r="X67" s="331" t="s">
        <v>275</v>
      </c>
      <c r="Y67" s="326" t="s">
        <v>205</v>
      </c>
      <c r="Z67" s="1113" t="e">
        <f>Y60*Y66*12</f>
        <v>#DIV/0!</v>
      </c>
      <c r="AA67" s="1113"/>
      <c r="AB67" s="1113"/>
      <c r="AC67" s="327" t="s">
        <v>274</v>
      </c>
      <c r="AD67" s="331" t="s">
        <v>275</v>
      </c>
      <c r="AE67" s="327" t="s">
        <v>205</v>
      </c>
      <c r="AF67" s="1113" t="e">
        <f>AE60*AE66*12</f>
        <v>#DIV/0!</v>
      </c>
      <c r="AG67" s="1113"/>
      <c r="AH67" s="1113"/>
      <c r="AI67" s="327" t="s">
        <v>274</v>
      </c>
      <c r="AJ67" s="336" t="s">
        <v>275</v>
      </c>
      <c r="AN67" s="85"/>
      <c r="AO67" s="85" t="s">
        <v>150</v>
      </c>
      <c r="AP67" s="111">
        <f>AB49/(1+Y60/S60/AW65)</f>
        <v>1350261.8181818181</v>
      </c>
      <c r="AQ67" s="112">
        <f>AB49/(S60/Y60*AW65+1)</f>
        <v>948398.18181818188</v>
      </c>
      <c r="AR67" s="111"/>
      <c r="AS67" s="89">
        <f>SUM(AP67:AR67)</f>
        <v>2298660</v>
      </c>
      <c r="AT67" s="90">
        <f>AS67-S60*S64*12-Y60*Y64*12</f>
        <v>-73.199999999953434</v>
      </c>
      <c r="AU67" s="93">
        <f>IF((CEILING(AP66,1)-AP66)-2*(CEILING(AQ66,1)-AQ66)&gt;=0,0,(AQ66-FLOOR(AQ66,1))*Y60*12)</f>
        <v>32.181818181982088</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#DIV/0!</v>
      </c>
      <c r="AQ69" s="105" t="e">
        <f>AB49/((S60*AW68+Y60+AE60/AW69)*12)</f>
        <v>#DIV/0!</v>
      </c>
      <c r="AR69" s="104" t="e">
        <f>AB49/((S60*AW70+Y60*AW69+AE60)*12)</f>
        <v>#DIV/0!</v>
      </c>
      <c r="AS69" s="106"/>
      <c r="AT69" s="107"/>
      <c r="AU69" s="121" t="e">
        <f>IF((CEILING(AP69,1)-AP69)-2*(CEILING(AQ69,1)-AQ69)&gt;=0,0,(AQ69-FLOOR(AQ69,1))*Y60*12)</f>
        <v>#DIV/0!</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v>2</v>
      </c>
      <c r="Y70" s="1147"/>
      <c r="Z70" s="349" t="s">
        <v>83</v>
      </c>
      <c r="AA70" s="350"/>
      <c r="AB70" s="350"/>
      <c r="AC70" s="1148"/>
      <c r="AD70" s="1148"/>
      <c r="AE70" s="349"/>
      <c r="AF70" s="349"/>
      <c r="AG70" s="349"/>
      <c r="AH70" s="351"/>
      <c r="AI70" s="352"/>
      <c r="AJ70" s="353"/>
      <c r="AN70" s="122"/>
      <c r="AO70" s="85" t="s">
        <v>150</v>
      </c>
      <c r="AP70" s="123" t="e">
        <f>AB49/(1+Y60/S60/AW68+AE60/S60/AW70)</f>
        <v>#DIV/0!</v>
      </c>
      <c r="AQ70" s="89" t="e">
        <f>AB49/(S60/Y60*AW68+1+AE60/Y60/AW69)</f>
        <v>#DIV/0!</v>
      </c>
      <c r="AR70" s="123" t="e">
        <f>AB49/(S60/AE60*AW70+Y60/AE60*AW69+1)</f>
        <v>#DIV/0!</v>
      </c>
      <c r="AS70" s="89" t="e">
        <f>SUM(AP70:AR70)</f>
        <v>#DIV/0!</v>
      </c>
      <c r="AT70" s="90" t="e">
        <f>AS70-S60*S66*12-Y60*Y66*12-AE60*AE66*12</f>
        <v>#DIV/0!</v>
      </c>
      <c r="AU70" s="124" t="e">
        <f>IF(Y66-2*(CEILING(AR69,1))&gt;=0,0,(AR69-FLOOR(AR69,1))*AE60*12)</f>
        <v>#DIV/0!</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v>4</v>
      </c>
      <c r="Q76" s="985"/>
      <c r="R76" s="268" t="s">
        <v>12</v>
      </c>
      <c r="S76" s="985">
        <v>6</v>
      </c>
      <c r="T76" s="985"/>
      <c r="U76" s="268" t="s">
        <v>13</v>
      </c>
      <c r="V76" s="1004" t="s">
        <v>14</v>
      </c>
      <c r="W76" s="1004"/>
      <c r="X76" s="268" t="s">
        <v>34</v>
      </c>
      <c r="Y76" s="268"/>
      <c r="Z76" s="985">
        <v>5</v>
      </c>
      <c r="AA76" s="985"/>
      <c r="AB76" s="268" t="s">
        <v>12</v>
      </c>
      <c r="AC76" s="985">
        <v>5</v>
      </c>
      <c r="AD76" s="985"/>
      <c r="AE76" s="268" t="s">
        <v>13</v>
      </c>
      <c r="AF76" s="268" t="s">
        <v>188</v>
      </c>
      <c r="AG76" s="268">
        <f>IF(P76&gt;=1,(Z76*12+AC76)-(P76*12+S76)+1,"")</f>
        <v>12</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t="s">
        <v>545</v>
      </c>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t="s">
        <v>542</v>
      </c>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543</v>
      </c>
      <c r="M96" s="1001"/>
      <c r="N96" s="1001"/>
      <c r="O96" s="1083">
        <v>27</v>
      </c>
      <c r="P96" s="1083"/>
      <c r="Q96" s="413" t="s">
        <v>5</v>
      </c>
      <c r="R96" s="1083">
        <v>8</v>
      </c>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t="s">
        <v>544</v>
      </c>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t="s">
        <v>545</v>
      </c>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t="s">
        <v>546</v>
      </c>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v>1</v>
      </c>
      <c r="O110" s="1049"/>
      <c r="P110" s="413" t="s">
        <v>5</v>
      </c>
      <c r="Q110" s="1049">
        <v>12</v>
      </c>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t="s">
        <v>547</v>
      </c>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v>4</v>
      </c>
      <c r="E198" s="1129"/>
      <c r="F198" s="562" t="s">
        <v>5</v>
      </c>
      <c r="G198" s="1128">
        <v>4</v>
      </c>
      <c r="H198" s="1129"/>
      <c r="I198" s="562" t="s">
        <v>4</v>
      </c>
      <c r="J198" s="1128">
        <v>8</v>
      </c>
      <c r="K198" s="1129"/>
      <c r="L198" s="562" t="s">
        <v>3</v>
      </c>
      <c r="M198" s="563"/>
      <c r="N198" s="1130" t="s">
        <v>6</v>
      </c>
      <c r="O198" s="1130"/>
      <c r="P198" s="1130"/>
      <c r="Q198" s="1131" t="str">
        <f>IF(G9="","",G9)</f>
        <v>有限会社さくらハーティーケア</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t="s">
        <v>527</v>
      </c>
      <c r="T199" s="1123"/>
      <c r="U199" s="1123"/>
      <c r="V199" s="1123"/>
      <c r="W199" s="1123"/>
      <c r="X199" s="1124" t="s">
        <v>113</v>
      </c>
      <c r="Y199" s="1124"/>
      <c r="Z199" s="1123" t="s">
        <v>528</v>
      </c>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4</xdr:col>
                    <xdr:colOff>0</xdr:colOff>
                    <xdr:row>175</xdr:row>
                    <xdr:rowOff>180975</xdr:rowOff>
                  </from>
                  <to>
                    <xdr:col>5</xdr:col>
                    <xdr:colOff>28575</xdr:colOff>
                    <xdr:row>176</xdr:row>
                    <xdr:rowOff>95250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4</xdr:col>
                    <xdr:colOff>0</xdr:colOff>
                    <xdr:row>176</xdr:row>
                    <xdr:rowOff>142875</xdr:rowOff>
                  </from>
                  <to>
                    <xdr:col>5</xdr:col>
                    <xdr:colOff>28575</xdr:colOff>
                    <xdr:row>177</xdr:row>
                    <xdr:rowOff>76200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4</xdr:col>
                    <xdr:colOff>0</xdr:colOff>
                    <xdr:row>177</xdr:row>
                    <xdr:rowOff>85725</xdr:rowOff>
                  </from>
                  <to>
                    <xdr:col>5</xdr:col>
                    <xdr:colOff>9525</xdr:colOff>
                    <xdr:row>178</xdr:row>
                    <xdr:rowOff>133350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4</xdr:col>
                    <xdr:colOff>0</xdr:colOff>
                    <xdr:row>178</xdr:row>
                    <xdr:rowOff>66675</xdr:rowOff>
                  </from>
                  <to>
                    <xdr:col>5</xdr:col>
                    <xdr:colOff>47625</xdr:colOff>
                    <xdr:row>179</xdr:row>
                    <xdr:rowOff>142875</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18</xdr:col>
                    <xdr:colOff>0</xdr:colOff>
                    <xdr:row>175</xdr:row>
                    <xdr:rowOff>161925</xdr:rowOff>
                  </from>
                  <to>
                    <xdr:col>19</xdr:col>
                    <xdr:colOff>47625</xdr:colOff>
                    <xdr:row>176</xdr:row>
                    <xdr:rowOff>85725</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19</xdr:col>
                    <xdr:colOff>9525</xdr:colOff>
                    <xdr:row>18</xdr:row>
                    <xdr:rowOff>19050</xdr:rowOff>
                  </from>
                  <to>
                    <xdr:col>20</xdr:col>
                    <xdr:colOff>19050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19050</xdr:rowOff>
                  </from>
                  <to>
                    <xdr:col>3</xdr:col>
                    <xdr:colOff>47625</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9525</xdr:colOff>
                    <xdr:row>89</xdr:row>
                    <xdr:rowOff>200025</xdr:rowOff>
                  </from>
                  <to>
                    <xdr:col>5</xdr:col>
                    <xdr:colOff>38100</xdr:colOff>
                    <xdr:row>90</xdr:row>
                    <xdr:rowOff>190500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9525</xdr:colOff>
                    <xdr:row>87</xdr:row>
                    <xdr:rowOff>190500</xdr:rowOff>
                  </from>
                  <to>
                    <xdr:col>5</xdr:col>
                    <xdr:colOff>38100</xdr:colOff>
                    <xdr:row>88</xdr:row>
                    <xdr:rowOff>314325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8</xdr:col>
                    <xdr:colOff>0</xdr:colOff>
                    <xdr:row>87</xdr:row>
                    <xdr:rowOff>190500</xdr:rowOff>
                  </from>
                  <to>
                    <xdr:col>9</xdr:col>
                    <xdr:colOff>47625</xdr:colOff>
                    <xdr:row>88</xdr:row>
                    <xdr:rowOff>314325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14</xdr:col>
                    <xdr:colOff>0</xdr:colOff>
                    <xdr:row>87</xdr:row>
                    <xdr:rowOff>190500</xdr:rowOff>
                  </from>
                  <to>
                    <xdr:col>15</xdr:col>
                    <xdr:colOff>47625</xdr:colOff>
                    <xdr:row>88</xdr:row>
                    <xdr:rowOff>314325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21</xdr:col>
                    <xdr:colOff>0</xdr:colOff>
                    <xdr:row>87</xdr:row>
                    <xdr:rowOff>190500</xdr:rowOff>
                  </from>
                  <to>
                    <xdr:col>22</xdr:col>
                    <xdr:colOff>47625</xdr:colOff>
                    <xdr:row>88</xdr:row>
                    <xdr:rowOff>314325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25</xdr:col>
                    <xdr:colOff>0</xdr:colOff>
                    <xdr:row>87</xdr:row>
                    <xdr:rowOff>190500</xdr:rowOff>
                  </from>
                  <to>
                    <xdr:col>26</xdr:col>
                    <xdr:colOff>47625</xdr:colOff>
                    <xdr:row>88</xdr:row>
                    <xdr:rowOff>314325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10</xdr:col>
                    <xdr:colOff>9525</xdr:colOff>
                    <xdr:row>89</xdr:row>
                    <xdr:rowOff>200025</xdr:rowOff>
                  </from>
                  <to>
                    <xdr:col>11</xdr:col>
                    <xdr:colOff>57150</xdr:colOff>
                    <xdr:row>90</xdr:row>
                    <xdr:rowOff>190500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180975</xdr:colOff>
                    <xdr:row>89</xdr:row>
                    <xdr:rowOff>200025</xdr:rowOff>
                  </from>
                  <to>
                    <xdr:col>18</xdr:col>
                    <xdr:colOff>38100</xdr:colOff>
                    <xdr:row>90</xdr:row>
                    <xdr:rowOff>190500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21</xdr:col>
                    <xdr:colOff>9525</xdr:colOff>
                    <xdr:row>94</xdr:row>
                    <xdr:rowOff>133350</xdr:rowOff>
                  </from>
                  <to>
                    <xdr:col>22</xdr:col>
                    <xdr:colOff>57150</xdr:colOff>
                    <xdr:row>95</xdr:row>
                    <xdr:rowOff>190500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25</xdr:col>
                    <xdr:colOff>9525</xdr:colOff>
                    <xdr:row>94</xdr:row>
                    <xdr:rowOff>133350</xdr:rowOff>
                  </from>
                  <to>
                    <xdr:col>26</xdr:col>
                    <xdr:colOff>57150</xdr:colOff>
                    <xdr:row>95</xdr:row>
                    <xdr:rowOff>190500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9525</xdr:colOff>
                    <xdr:row>98</xdr:row>
                    <xdr:rowOff>809625</xdr:rowOff>
                  </from>
                  <to>
                    <xdr:col>5</xdr:col>
                    <xdr:colOff>38100</xdr:colOff>
                    <xdr:row>100</xdr:row>
                    <xdr:rowOff>95250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13</xdr:col>
                    <xdr:colOff>9525</xdr:colOff>
                    <xdr:row>98</xdr:row>
                    <xdr:rowOff>809625</xdr:rowOff>
                  </from>
                  <to>
                    <xdr:col>14</xdr:col>
                    <xdr:colOff>57150</xdr:colOff>
                    <xdr:row>100</xdr:row>
                    <xdr:rowOff>95250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20</xdr:col>
                    <xdr:colOff>9525</xdr:colOff>
                    <xdr:row>98</xdr:row>
                    <xdr:rowOff>809625</xdr:rowOff>
                  </from>
                  <to>
                    <xdr:col>21</xdr:col>
                    <xdr:colOff>57150</xdr:colOff>
                    <xdr:row>100</xdr:row>
                    <xdr:rowOff>95250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9525</xdr:colOff>
                    <xdr:row>102</xdr:row>
                    <xdr:rowOff>142875</xdr:rowOff>
                  </from>
                  <to>
                    <xdr:col>5</xdr:col>
                    <xdr:colOff>38100</xdr:colOff>
                    <xdr:row>104</xdr:row>
                    <xdr:rowOff>9525</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8</xdr:col>
                    <xdr:colOff>0</xdr:colOff>
                    <xdr:row>100</xdr:row>
                    <xdr:rowOff>152400</xdr:rowOff>
                  </from>
                  <to>
                    <xdr:col>9</xdr:col>
                    <xdr:colOff>47625</xdr:colOff>
                    <xdr:row>102</xdr:row>
                    <xdr:rowOff>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14</xdr:col>
                    <xdr:colOff>0</xdr:colOff>
                    <xdr:row>100</xdr:row>
                    <xdr:rowOff>152400</xdr:rowOff>
                  </from>
                  <to>
                    <xdr:col>15</xdr:col>
                    <xdr:colOff>47625</xdr:colOff>
                    <xdr:row>102</xdr:row>
                    <xdr:rowOff>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21</xdr:col>
                    <xdr:colOff>9525</xdr:colOff>
                    <xdr:row>100</xdr:row>
                    <xdr:rowOff>152400</xdr:rowOff>
                  </from>
                  <to>
                    <xdr:col>22</xdr:col>
                    <xdr:colOff>57150</xdr:colOff>
                    <xdr:row>101</xdr:row>
                    <xdr:rowOff>323850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24</xdr:col>
                    <xdr:colOff>9525</xdr:colOff>
                    <xdr:row>100</xdr:row>
                    <xdr:rowOff>152400</xdr:rowOff>
                  </from>
                  <to>
                    <xdr:col>25</xdr:col>
                    <xdr:colOff>57150</xdr:colOff>
                    <xdr:row>101</xdr:row>
                    <xdr:rowOff>323850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10</xdr:col>
                    <xdr:colOff>9525</xdr:colOff>
                    <xdr:row>102</xdr:row>
                    <xdr:rowOff>142875</xdr:rowOff>
                  </from>
                  <to>
                    <xdr:col>11</xdr:col>
                    <xdr:colOff>57150</xdr:colOff>
                    <xdr:row>104</xdr:row>
                    <xdr:rowOff>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17</xdr:col>
                    <xdr:colOff>0</xdr:colOff>
                    <xdr:row>102</xdr:row>
                    <xdr:rowOff>142875</xdr:rowOff>
                  </from>
                  <to>
                    <xdr:col>18</xdr:col>
                    <xdr:colOff>47625</xdr:colOff>
                    <xdr:row>104</xdr:row>
                    <xdr:rowOff>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20</xdr:col>
                    <xdr:colOff>0</xdr:colOff>
                    <xdr:row>108</xdr:row>
                    <xdr:rowOff>114300</xdr:rowOff>
                  </from>
                  <to>
                    <xdr:col>21</xdr:col>
                    <xdr:colOff>47625</xdr:colOff>
                    <xdr:row>110</xdr:row>
                    <xdr:rowOff>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24</xdr:col>
                    <xdr:colOff>0</xdr:colOff>
                    <xdr:row>108</xdr:row>
                    <xdr:rowOff>114300</xdr:rowOff>
                  </from>
                  <to>
                    <xdr:col>25</xdr:col>
                    <xdr:colOff>47625</xdr:colOff>
                    <xdr:row>110</xdr:row>
                    <xdr:rowOff>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4</xdr:col>
                    <xdr:colOff>0</xdr:colOff>
                    <xdr:row>100</xdr:row>
                    <xdr:rowOff>152400</xdr:rowOff>
                  </from>
                  <to>
                    <xdr:col>5</xdr:col>
                    <xdr:colOff>28575</xdr:colOff>
                    <xdr:row>102</xdr:row>
                    <xdr:rowOff>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28</xdr:col>
                    <xdr:colOff>0</xdr:colOff>
                    <xdr:row>122</xdr:row>
                    <xdr:rowOff>38100</xdr:rowOff>
                  </from>
                  <to>
                    <xdr:col>29</xdr:col>
                    <xdr:colOff>19050</xdr:colOff>
                    <xdr:row>124</xdr:row>
                    <xdr:rowOff>9525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10</xdr:col>
                    <xdr:colOff>9525</xdr:colOff>
                    <xdr:row>138</xdr:row>
                    <xdr:rowOff>304800</xdr:rowOff>
                  </from>
                  <to>
                    <xdr:col>11</xdr:col>
                    <xdr:colOff>19050</xdr:colOff>
                    <xdr:row>140</xdr:row>
                    <xdr:rowOff>9525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10</xdr:col>
                    <xdr:colOff>9525</xdr:colOff>
                    <xdr:row>140</xdr:row>
                    <xdr:rowOff>66675</xdr:rowOff>
                  </from>
                  <to>
                    <xdr:col>11</xdr:col>
                    <xdr:colOff>19050</xdr:colOff>
                    <xdr:row>140</xdr:row>
                    <xdr:rowOff>342900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10</xdr:col>
                    <xdr:colOff>9525</xdr:colOff>
                    <xdr:row>141</xdr:row>
                    <xdr:rowOff>9525</xdr:rowOff>
                  </from>
                  <to>
                    <xdr:col>11</xdr:col>
                    <xdr:colOff>38100</xdr:colOff>
                    <xdr:row>141</xdr:row>
                    <xdr:rowOff>400050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32</xdr:col>
                    <xdr:colOff>0</xdr:colOff>
                    <xdr:row>122</xdr:row>
                    <xdr:rowOff>38100</xdr:rowOff>
                  </from>
                  <to>
                    <xdr:col>33</xdr:col>
                    <xdr:colOff>19050</xdr:colOff>
                    <xdr:row>124</xdr:row>
                    <xdr:rowOff>9525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28</xdr:col>
                    <xdr:colOff>0</xdr:colOff>
                    <xdr:row>127</xdr:row>
                    <xdr:rowOff>66675</xdr:rowOff>
                  </from>
                  <to>
                    <xdr:col>29</xdr:col>
                    <xdr:colOff>19050</xdr:colOff>
                    <xdr:row>129</xdr:row>
                    <xdr:rowOff>28575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180975</xdr:colOff>
                    <xdr:row>127</xdr:row>
                    <xdr:rowOff>66675</xdr:rowOff>
                  </from>
                  <to>
                    <xdr:col>33</xdr:col>
                    <xdr:colOff>9525</xdr:colOff>
                    <xdr:row>129</xdr:row>
                    <xdr:rowOff>28575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10</xdr:col>
                    <xdr:colOff>9525</xdr:colOff>
                    <xdr:row>132</xdr:row>
                    <xdr:rowOff>142875</xdr:rowOff>
                  </from>
                  <to>
                    <xdr:col>11</xdr:col>
                    <xdr:colOff>28575</xdr:colOff>
                    <xdr:row>132</xdr:row>
                    <xdr:rowOff>400050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10</xdr:col>
                    <xdr:colOff>0</xdr:colOff>
                    <xdr:row>134</xdr:row>
                    <xdr:rowOff>200025</xdr:rowOff>
                  </from>
                  <to>
                    <xdr:col>11</xdr:col>
                    <xdr:colOff>19050</xdr:colOff>
                    <xdr:row>134</xdr:row>
                    <xdr:rowOff>533400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180975</xdr:colOff>
                    <xdr:row>136</xdr:row>
                    <xdr:rowOff>114300</xdr:rowOff>
                  </from>
                  <to>
                    <xdr:col>29</xdr:col>
                    <xdr:colOff>19050</xdr:colOff>
                    <xdr:row>138</xdr:row>
                    <xdr:rowOff>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32</xdr:col>
                    <xdr:colOff>0</xdr:colOff>
                    <xdr:row>136</xdr:row>
                    <xdr:rowOff>114300</xdr:rowOff>
                  </from>
                  <to>
                    <xdr:col>33</xdr:col>
                    <xdr:colOff>19050</xdr:colOff>
                    <xdr:row>138</xdr:row>
                    <xdr:rowOff>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18</xdr:col>
                    <xdr:colOff>0</xdr:colOff>
                    <xdr:row>176</xdr:row>
                    <xdr:rowOff>133350</xdr:rowOff>
                  </from>
                  <to>
                    <xdr:col>19</xdr:col>
                    <xdr:colOff>47625</xdr:colOff>
                    <xdr:row>177</xdr:row>
                    <xdr:rowOff>85725</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21</xdr:col>
                    <xdr:colOff>0</xdr:colOff>
                    <xdr:row>177</xdr:row>
                    <xdr:rowOff>123825</xdr:rowOff>
                  </from>
                  <to>
                    <xdr:col>22</xdr:col>
                    <xdr:colOff>47625</xdr:colOff>
                    <xdr:row>178</xdr:row>
                    <xdr:rowOff>76200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19050</xdr:colOff>
                    <xdr:row>178</xdr:row>
                    <xdr:rowOff>123825</xdr:rowOff>
                  </from>
                  <to>
                    <xdr:col>27</xdr:col>
                    <xdr:colOff>66675</xdr:colOff>
                    <xdr:row>179</xdr:row>
                    <xdr:rowOff>76200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19050</xdr:colOff>
                    <xdr:row>86</xdr:row>
                    <xdr:rowOff>9525</xdr:rowOff>
                  </from>
                  <to>
                    <xdr:col>33</xdr:col>
                    <xdr:colOff>66675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19050</xdr:colOff>
                    <xdr:row>96</xdr:row>
                    <xdr:rowOff>123825</xdr:rowOff>
                  </from>
                  <to>
                    <xdr:col>33</xdr:col>
                    <xdr:colOff>66675</xdr:colOff>
                    <xdr:row>98</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19050</xdr:colOff>
                    <xdr:row>119</xdr:row>
                    <xdr:rowOff>161925</xdr:rowOff>
                  </from>
                  <to>
                    <xdr:col>33</xdr:col>
                    <xdr:colOff>66675</xdr:colOff>
                    <xdr:row>121</xdr:row>
                    <xdr:rowOff>19050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19050</xdr:colOff>
                    <xdr:row>144</xdr:row>
                    <xdr:rowOff>114300</xdr:rowOff>
                  </from>
                  <to>
                    <xdr:col>33</xdr:col>
                    <xdr:colOff>66675</xdr:colOff>
                    <xdr:row>146</xdr:row>
                    <xdr:rowOff>28575</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32</xdr:col>
                    <xdr:colOff>9525</xdr:colOff>
                    <xdr:row>174</xdr:row>
                    <xdr:rowOff>66675</xdr:rowOff>
                  </from>
                  <to>
                    <xdr:col>33</xdr:col>
                    <xdr:colOff>57150</xdr:colOff>
                    <xdr:row>175</xdr:row>
                    <xdr:rowOff>171450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10</xdr:col>
                    <xdr:colOff>19050</xdr:colOff>
                    <xdr:row>61</xdr:row>
                    <xdr:rowOff>0</xdr:rowOff>
                  </from>
                  <to>
                    <xdr:col>11</xdr:col>
                    <xdr:colOff>47625</xdr:colOff>
                    <xdr:row>61</xdr:row>
                    <xdr:rowOff>209550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10</xdr:col>
                    <xdr:colOff>9525</xdr:colOff>
                    <xdr:row>62</xdr:row>
                    <xdr:rowOff>219075</xdr:rowOff>
                  </from>
                  <to>
                    <xdr:col>11</xdr:col>
                    <xdr:colOff>38100</xdr:colOff>
                    <xdr:row>63</xdr:row>
                    <xdr:rowOff>209550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10</xdr:col>
                    <xdr:colOff>9525</xdr:colOff>
                    <xdr:row>64</xdr:row>
                    <xdr:rowOff>219075</xdr:rowOff>
                  </from>
                  <to>
                    <xdr:col>11</xdr:col>
                    <xdr:colOff>38100</xdr:colOff>
                    <xdr:row>65</xdr:row>
                    <xdr:rowOff>209550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10</xdr:col>
                    <xdr:colOff>9525</xdr:colOff>
                    <xdr:row>66</xdr:row>
                    <xdr:rowOff>219075</xdr:rowOff>
                  </from>
                  <to>
                    <xdr:col>11</xdr:col>
                    <xdr:colOff>38100</xdr:colOff>
                    <xdr:row>67</xdr:row>
                    <xdr:rowOff>200025</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70</xdr:row>
                    <xdr:rowOff>180975</xdr:rowOff>
                  </from>
                  <to>
                    <xdr:col>3</xdr:col>
                    <xdr:colOff>38100</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171450</xdr:rowOff>
                  </from>
                  <to>
                    <xdr:col>3</xdr:col>
                    <xdr:colOff>38100</xdr:colOff>
                    <xdr:row>73</xdr:row>
                    <xdr:rowOff>19050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72</xdr:row>
                    <xdr:rowOff>190500</xdr:rowOff>
                  </from>
                  <to>
                    <xdr:col>3</xdr:col>
                    <xdr:colOff>38100</xdr:colOff>
                    <xdr:row>73</xdr:row>
                    <xdr:rowOff>238125</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276225</xdr:rowOff>
                  </from>
                  <to>
                    <xdr:col>3</xdr:col>
                    <xdr:colOff>38100</xdr:colOff>
                    <xdr:row>74</xdr:row>
                    <xdr:rowOff>190500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182</xdr:row>
                    <xdr:rowOff>95250</xdr:rowOff>
                  </from>
                  <to>
                    <xdr:col>2</xdr:col>
                    <xdr:colOff>19050</xdr:colOff>
                    <xdr:row>183</xdr:row>
                    <xdr:rowOff>142875</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183</xdr:row>
                    <xdr:rowOff>123825</xdr:rowOff>
                  </from>
                  <to>
                    <xdr:col>2</xdr:col>
                    <xdr:colOff>19050</xdr:colOff>
                    <xdr:row>184</xdr:row>
                    <xdr:rowOff>142875</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184</xdr:row>
                    <xdr:rowOff>123825</xdr:rowOff>
                  </from>
                  <to>
                    <xdr:col>2</xdr:col>
                    <xdr:colOff>19050</xdr:colOff>
                    <xdr:row>185</xdr:row>
                    <xdr:rowOff>152400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188</xdr:row>
                    <xdr:rowOff>238125</xdr:rowOff>
                  </from>
                  <to>
                    <xdr:col>2</xdr:col>
                    <xdr:colOff>19050</xdr:colOff>
                    <xdr:row>189</xdr:row>
                    <xdr:rowOff>152400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186</xdr:row>
                    <xdr:rowOff>180975</xdr:rowOff>
                  </from>
                  <to>
                    <xdr:col>2</xdr:col>
                    <xdr:colOff>19050</xdr:colOff>
                    <xdr:row>187</xdr:row>
                    <xdr:rowOff>200025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184</xdr:row>
                    <xdr:rowOff>123825</xdr:rowOff>
                  </from>
                  <to>
                    <xdr:col>2</xdr:col>
                    <xdr:colOff>19050</xdr:colOff>
                    <xdr:row>185</xdr:row>
                    <xdr:rowOff>152400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187</xdr:row>
                    <xdr:rowOff>285750</xdr:rowOff>
                  </from>
                  <to>
                    <xdr:col>2</xdr:col>
                    <xdr:colOff>19050</xdr:colOff>
                    <xdr:row>188</xdr:row>
                    <xdr:rowOff>200025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184</xdr:row>
                    <xdr:rowOff>123825</xdr:rowOff>
                  </from>
                  <to>
                    <xdr:col>2</xdr:col>
                    <xdr:colOff>19050</xdr:colOff>
                    <xdr:row>185</xdr:row>
                    <xdr:rowOff>152400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185</xdr:row>
                    <xdr:rowOff>133350</xdr:rowOff>
                  </from>
                  <to>
                    <xdr:col>2</xdr:col>
                    <xdr:colOff>19050</xdr:colOff>
                    <xdr:row>186</xdr:row>
                    <xdr:rowOff>152400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185</xdr:row>
                    <xdr:rowOff>133350</xdr:rowOff>
                  </from>
                  <to>
                    <xdr:col>2</xdr:col>
                    <xdr:colOff>19050</xdr:colOff>
                    <xdr:row>186</xdr:row>
                    <xdr:rowOff>152400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9525</xdr:colOff>
                    <xdr:row>148</xdr:row>
                    <xdr:rowOff>142875</xdr:rowOff>
                  </from>
                  <to>
                    <xdr:col>4</xdr:col>
                    <xdr:colOff>190500</xdr:colOff>
                    <xdr:row>149</xdr:row>
                    <xdr:rowOff>152400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9525</xdr:colOff>
                    <xdr:row>149</xdr:row>
                    <xdr:rowOff>152400</xdr:rowOff>
                  </from>
                  <to>
                    <xdr:col>4</xdr:col>
                    <xdr:colOff>190500</xdr:colOff>
                    <xdr:row>150</xdr:row>
                    <xdr:rowOff>152400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9525</xdr:colOff>
                    <xdr:row>150</xdr:row>
                    <xdr:rowOff>142875</xdr:rowOff>
                  </from>
                  <to>
                    <xdr:col>4</xdr:col>
                    <xdr:colOff>190500</xdr:colOff>
                    <xdr:row>151</xdr:row>
                    <xdr:rowOff>152400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9525</xdr:colOff>
                    <xdr:row>151</xdr:row>
                    <xdr:rowOff>142875</xdr:rowOff>
                  </from>
                  <to>
                    <xdr:col>4</xdr:col>
                    <xdr:colOff>190500</xdr:colOff>
                    <xdr:row>152</xdr:row>
                    <xdr:rowOff>142875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9525</xdr:colOff>
                    <xdr:row>152</xdr:row>
                    <xdr:rowOff>133350</xdr:rowOff>
                  </from>
                  <to>
                    <xdr:col>4</xdr:col>
                    <xdr:colOff>190500</xdr:colOff>
                    <xdr:row>153</xdr:row>
                    <xdr:rowOff>142875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9525</xdr:colOff>
                    <xdr:row>153</xdr:row>
                    <xdr:rowOff>276225</xdr:rowOff>
                  </from>
                  <to>
                    <xdr:col>4</xdr:col>
                    <xdr:colOff>190500</xdr:colOff>
                    <xdr:row>154</xdr:row>
                    <xdr:rowOff>142875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9525</xdr:colOff>
                    <xdr:row>154</xdr:row>
                    <xdr:rowOff>133350</xdr:rowOff>
                  </from>
                  <to>
                    <xdr:col>4</xdr:col>
                    <xdr:colOff>190500</xdr:colOff>
                    <xdr:row>155</xdr:row>
                    <xdr:rowOff>142875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9525</xdr:colOff>
                    <xdr:row>155</xdr:row>
                    <xdr:rowOff>133350</xdr:rowOff>
                  </from>
                  <to>
                    <xdr:col>4</xdr:col>
                    <xdr:colOff>190500</xdr:colOff>
                    <xdr:row>156</xdr:row>
                    <xdr:rowOff>142875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9525</xdr:colOff>
                    <xdr:row>156</xdr:row>
                    <xdr:rowOff>133350</xdr:rowOff>
                  </from>
                  <to>
                    <xdr:col>4</xdr:col>
                    <xdr:colOff>190500</xdr:colOff>
                    <xdr:row>157</xdr:row>
                    <xdr:rowOff>133350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9525</xdr:colOff>
                    <xdr:row>157</xdr:row>
                    <xdr:rowOff>123825</xdr:rowOff>
                  </from>
                  <to>
                    <xdr:col>4</xdr:col>
                    <xdr:colOff>190500</xdr:colOff>
                    <xdr:row>158</xdr:row>
                    <xdr:rowOff>133350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9525</xdr:colOff>
                    <xdr:row>158</xdr:row>
                    <xdr:rowOff>238125</xdr:rowOff>
                  </from>
                  <to>
                    <xdr:col>4</xdr:col>
                    <xdr:colOff>190500</xdr:colOff>
                    <xdr:row>159</xdr:row>
                    <xdr:rowOff>133350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9525</xdr:colOff>
                    <xdr:row>159</xdr:row>
                    <xdr:rowOff>123825</xdr:rowOff>
                  </from>
                  <to>
                    <xdr:col>4</xdr:col>
                    <xdr:colOff>190500</xdr:colOff>
                    <xdr:row>160</xdr:row>
                    <xdr:rowOff>133350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9525</xdr:colOff>
                    <xdr:row>160</xdr:row>
                    <xdr:rowOff>123825</xdr:rowOff>
                  </from>
                  <to>
                    <xdr:col>4</xdr:col>
                    <xdr:colOff>190500</xdr:colOff>
                    <xdr:row>161</xdr:row>
                    <xdr:rowOff>133350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9525</xdr:colOff>
                    <xdr:row>161</xdr:row>
                    <xdr:rowOff>209550</xdr:rowOff>
                  </from>
                  <to>
                    <xdr:col>4</xdr:col>
                    <xdr:colOff>190500</xdr:colOff>
                    <xdr:row>162</xdr:row>
                    <xdr:rowOff>123825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9525</xdr:colOff>
                    <xdr:row>162</xdr:row>
                    <xdr:rowOff>114300</xdr:rowOff>
                  </from>
                  <to>
                    <xdr:col>4</xdr:col>
                    <xdr:colOff>190500</xdr:colOff>
                    <xdr:row>163</xdr:row>
                    <xdr:rowOff>123825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9525</xdr:colOff>
                    <xdr:row>163</xdr:row>
                    <xdr:rowOff>114300</xdr:rowOff>
                  </from>
                  <to>
                    <xdr:col>4</xdr:col>
                    <xdr:colOff>190500</xdr:colOff>
                    <xdr:row>164</xdr:row>
                    <xdr:rowOff>114300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9525</xdr:colOff>
                    <xdr:row>164</xdr:row>
                    <xdr:rowOff>104775</xdr:rowOff>
                  </from>
                  <to>
                    <xdr:col>4</xdr:col>
                    <xdr:colOff>190500</xdr:colOff>
                    <xdr:row>165</xdr:row>
                    <xdr:rowOff>114300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9525</xdr:colOff>
                    <xdr:row>165</xdr:row>
                    <xdr:rowOff>104775</xdr:rowOff>
                  </from>
                  <to>
                    <xdr:col>4</xdr:col>
                    <xdr:colOff>190500</xdr:colOff>
                    <xdr:row>166</xdr:row>
                    <xdr:rowOff>114300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9525</xdr:colOff>
                    <xdr:row>166</xdr:row>
                    <xdr:rowOff>200025</xdr:rowOff>
                  </from>
                  <to>
                    <xdr:col>4</xdr:col>
                    <xdr:colOff>190500</xdr:colOff>
                    <xdr:row>167</xdr:row>
                    <xdr:rowOff>104775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9525</xdr:colOff>
                    <xdr:row>167</xdr:row>
                    <xdr:rowOff>95250</xdr:rowOff>
                  </from>
                  <to>
                    <xdr:col>4</xdr:col>
                    <xdr:colOff>190500</xdr:colOff>
                    <xdr:row>168</xdr:row>
                    <xdr:rowOff>104775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9525</xdr:colOff>
                    <xdr:row>168</xdr:row>
                    <xdr:rowOff>95250</xdr:rowOff>
                  </from>
                  <to>
                    <xdr:col>4</xdr:col>
                    <xdr:colOff>190500</xdr:colOff>
                    <xdr:row>169</xdr:row>
                    <xdr:rowOff>104775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9525</xdr:colOff>
                    <xdr:row>169</xdr:row>
                    <xdr:rowOff>95250</xdr:rowOff>
                  </from>
                  <to>
                    <xdr:col>4</xdr:col>
                    <xdr:colOff>190500</xdr:colOff>
                    <xdr:row>170</xdr:row>
                    <xdr:rowOff>104775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9525</xdr:colOff>
                    <xdr:row>170</xdr:row>
                    <xdr:rowOff>95250</xdr:rowOff>
                  </from>
                  <to>
                    <xdr:col>4</xdr:col>
                    <xdr:colOff>190500</xdr:colOff>
                    <xdr:row>171</xdr:row>
                    <xdr:rowOff>95250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9525</xdr:colOff>
                    <xdr:row>171</xdr:row>
                    <xdr:rowOff>85725</xdr:rowOff>
                  </from>
                  <to>
                    <xdr:col>4</xdr:col>
                    <xdr:colOff>190500</xdr:colOff>
                    <xdr:row>172</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A3" zoomScale="55" zoomScaleNormal="85" zoomScaleSheetLayoutView="55" zoomScalePageLayoutView="70" workbookViewId="0">
      <selection activeCell="AC18" sqref="AC18"/>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有限会社さくらハーティーケア</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f>IF(SUM(AH12:AH111)=0,"",SUM(AH12:AH111))</f>
        <v>10871148</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f>IF(基本情報入力シート!C33="","",基本情報入力シート!C33)</f>
        <v>2</v>
      </c>
      <c r="C12" s="601">
        <f>IF(基本情報入力シート!D33="","",基本情報入力シート!D33)</f>
        <v>3</v>
      </c>
      <c r="D12" s="602">
        <f>IF(基本情報入力シート!E33="","",基本情報入力シート!E33)</f>
        <v>7</v>
      </c>
      <c r="E12" s="602">
        <f>IF(基本情報入力シート!F33="","",基本情報入力シート!F33)</f>
        <v>2</v>
      </c>
      <c r="F12" s="602">
        <f>IF(基本情報入力シート!G33="","",基本情報入力シート!G33)</f>
        <v>2</v>
      </c>
      <c r="G12" s="602">
        <f>IF(基本情報入力シート!H33="","",基本情報入力シート!H33)</f>
        <v>0</v>
      </c>
      <c r="H12" s="602">
        <f>IF(基本情報入力シート!I33="","",基本情報入力シート!I33)</f>
        <v>2</v>
      </c>
      <c r="I12" s="602">
        <f>IF(基本情報入力シート!J33="","",基本情報入力シート!J33)</f>
        <v>2</v>
      </c>
      <c r="J12" s="602">
        <f>IF(基本情報入力シート!K33="","",基本情報入力シート!K33)</f>
        <v>6</v>
      </c>
      <c r="K12" s="603">
        <f>IF(基本情報入力シート!L33="","",基本情報入力シート!L33)</f>
        <v>3</v>
      </c>
      <c r="L12" s="604" t="str">
        <f>IF(基本情報入力シート!M33="","",基本情報入力シート!M33)</f>
        <v>一宮市</v>
      </c>
      <c r="M12" s="604" t="str">
        <f>IF(基本情報入力シート!R33="","",基本情報入力シート!R33)</f>
        <v>愛知県</v>
      </c>
      <c r="N12" s="604" t="str">
        <f>IF(基本情報入力シート!W33="","",基本情報入力シート!W33)</f>
        <v>一宮市</v>
      </c>
      <c r="O12" s="599" t="str">
        <f>IF(基本情報入力シート!X33="","",基本情報入力シート!X33)</f>
        <v>介護付有料老人ホームさくら苑</v>
      </c>
      <c r="P12" s="605" t="str">
        <f>IF(基本情報入力シート!Y33="","",基本情報入力シート!Y33)</f>
        <v>特定施設入居者生活介護</v>
      </c>
      <c r="Q12" s="606">
        <f>IF(基本情報入力シート!Z33="","",基本情報入力シート!Z33)</f>
        <v>544584</v>
      </c>
      <c r="R12" s="607">
        <f>IF(基本情報入力シート!AA33="","",基本情報入力シート!AA33)</f>
        <v>10.14</v>
      </c>
      <c r="S12" s="608" t="s">
        <v>548</v>
      </c>
      <c r="T12" s="609" t="s">
        <v>549</v>
      </c>
      <c r="U12" s="610">
        <f>IF(P12="","",VLOOKUP(P12,【参考】数式用!$A$5:$I$38,MATCH(T12,【参考】数式用!$C$4:$G$4,0)+2,0))</f>
        <v>8.2000000000000003E-2</v>
      </c>
      <c r="V12" s="244" t="s">
        <v>34</v>
      </c>
      <c r="W12" s="611">
        <v>4</v>
      </c>
      <c r="X12" s="241" t="s">
        <v>12</v>
      </c>
      <c r="Y12" s="611">
        <v>4</v>
      </c>
      <c r="Z12" s="393" t="s">
        <v>102</v>
      </c>
      <c r="AA12" s="612">
        <v>5</v>
      </c>
      <c r="AB12" s="241" t="s">
        <v>12</v>
      </c>
      <c r="AC12" s="612">
        <v>3</v>
      </c>
      <c r="AD12" s="241" t="s">
        <v>17</v>
      </c>
      <c r="AE12" s="613" t="s">
        <v>49</v>
      </c>
      <c r="AF12" s="614">
        <f>IF(W12&gt;=1,(AA12*12+AC12)-(W12*12+Y12)+1,"")</f>
        <v>12</v>
      </c>
      <c r="AG12" s="615" t="s">
        <v>69</v>
      </c>
      <c r="AH12" s="616">
        <f>IFERROR(ROUNDDOWN(ROUND(Q12*R12,0)*U12,0)*AF12,"")</f>
        <v>5433720</v>
      </c>
    </row>
    <row r="13" spans="1:34" ht="36.75" customHeight="1">
      <c r="A13" s="599">
        <f>A12+1</f>
        <v>2</v>
      </c>
      <c r="B13" s="600">
        <f>IF(基本情報入力シート!C34="","",基本情報入力シート!C34)</f>
        <v>2</v>
      </c>
      <c r="C13" s="601">
        <f>IF(基本情報入力シート!D34="","",基本情報入力シート!D34)</f>
        <v>3</v>
      </c>
      <c r="D13" s="602">
        <f>IF(基本情報入力シート!E34="","",基本情報入力シート!E34)</f>
        <v>7</v>
      </c>
      <c r="E13" s="602">
        <f>IF(基本情報入力シート!F34="","",基本情報入力シート!F34)</f>
        <v>2</v>
      </c>
      <c r="F13" s="602">
        <f>IF(基本情報入力シート!G34="","",基本情報入力シート!G34)</f>
        <v>2</v>
      </c>
      <c r="G13" s="602">
        <f>IF(基本情報入力シート!H34="","",基本情報入力シート!H34)</f>
        <v>0</v>
      </c>
      <c r="H13" s="602">
        <f>IF(基本情報入力シート!I34="","",基本情報入力シート!I34)</f>
        <v>2</v>
      </c>
      <c r="I13" s="602">
        <f>IF(基本情報入力シート!J34="","",基本情報入力シート!J34)</f>
        <v>2</v>
      </c>
      <c r="J13" s="602">
        <f>IF(基本情報入力シート!K34="","",基本情報入力シート!K34)</f>
        <v>6</v>
      </c>
      <c r="K13" s="603">
        <f>IF(基本情報入力シート!L34="","",基本情報入力シート!L34)</f>
        <v>3</v>
      </c>
      <c r="L13" s="604" t="str">
        <f>IF(基本情報入力シート!M34="","",基本情報入力シート!M34)</f>
        <v>一宮市</v>
      </c>
      <c r="M13" s="604" t="str">
        <f>IF(基本情報入力シート!R34="","",基本情報入力シート!R34)</f>
        <v>愛知県</v>
      </c>
      <c r="N13" s="604" t="str">
        <f>IF(基本情報入力シート!W34="","",基本情報入力シート!W34)</f>
        <v>一宮市</v>
      </c>
      <c r="O13" s="599" t="str">
        <f>IF(基本情報入力シート!X34="","",基本情報入力シート!X34)</f>
        <v>介護付有料老人ホームさくら苑</v>
      </c>
      <c r="P13" s="605" t="str">
        <f>IF(基本情報入力シート!Y34="","",基本情報入力シート!Y34)</f>
        <v>介護予防特定施設入居者生活介護</v>
      </c>
      <c r="Q13" s="606">
        <f>IF(基本情報入力シート!Z34="","",基本情報入力シート!Z34)</f>
        <v>0</v>
      </c>
      <c r="R13" s="607">
        <f>IF(基本情報入力シート!AA34="","",基本情報入力シート!AA34)</f>
        <v>10.14</v>
      </c>
      <c r="S13" s="608" t="s">
        <v>548</v>
      </c>
      <c r="T13" s="609" t="s">
        <v>549</v>
      </c>
      <c r="U13" s="610">
        <f>IF(P13="","",VLOOKUP(P13,【参考】数式用!$A$5:$I$38,MATCH(T13,【参考】数式用!$C$4:$G$4,0)+2,0))</f>
        <v>8.2000000000000003E-2</v>
      </c>
      <c r="V13" s="244" t="s">
        <v>34</v>
      </c>
      <c r="W13" s="611">
        <v>4</v>
      </c>
      <c r="X13" s="241" t="s">
        <v>12</v>
      </c>
      <c r="Y13" s="611">
        <v>4</v>
      </c>
      <c r="Z13" s="393" t="s">
        <v>102</v>
      </c>
      <c r="AA13" s="612">
        <v>5</v>
      </c>
      <c r="AB13" s="241" t="s">
        <v>12</v>
      </c>
      <c r="AC13" s="612">
        <v>3</v>
      </c>
      <c r="AD13" s="241" t="s">
        <v>17</v>
      </c>
      <c r="AE13" s="613" t="s">
        <v>49</v>
      </c>
      <c r="AF13" s="614">
        <f t="shared" ref="AF13:AF16" si="0">IF(W13&gt;=1,(AA13*12+AC13)-(W13*12+Y13)+1,"")</f>
        <v>12</v>
      </c>
      <c r="AG13" s="615" t="s">
        <v>69</v>
      </c>
      <c r="AH13" s="616">
        <f t="shared" ref="AH13:AH76" si="1">IFERROR(ROUNDDOWN(ROUND(Q13*R13,0)*U13,0)*AF13,"")</f>
        <v>0</v>
      </c>
    </row>
    <row r="14" spans="1:34" ht="36.75" customHeight="1">
      <c r="A14" s="599">
        <f t="shared" ref="A14:A26" si="2">A13+1</f>
        <v>3</v>
      </c>
      <c r="B14" s="600">
        <f>IF(基本情報入力シート!C35="","",基本情報入力シート!C35)</f>
        <v>2</v>
      </c>
      <c r="C14" s="601">
        <f>IF(基本情報入力シート!D35="","",基本情報入力シート!D35)</f>
        <v>3</v>
      </c>
      <c r="D14" s="602">
        <f>IF(基本情報入力シート!E35="","",基本情報入力シート!E35)</f>
        <v>7</v>
      </c>
      <c r="E14" s="602">
        <f>IF(基本情報入力シート!F35="","",基本情報入力シート!F35)</f>
        <v>2</v>
      </c>
      <c r="F14" s="602">
        <f>IF(基本情報入力シート!G35="","",基本情報入力シート!G35)</f>
        <v>2</v>
      </c>
      <c r="G14" s="602">
        <f>IF(基本情報入力シート!H35="","",基本情報入力シート!H35)</f>
        <v>0</v>
      </c>
      <c r="H14" s="602">
        <f>IF(基本情報入力シート!I35="","",基本情報入力シート!I35)</f>
        <v>2</v>
      </c>
      <c r="I14" s="602">
        <f>IF(基本情報入力シート!J35="","",基本情報入力シート!J35)</f>
        <v>2</v>
      </c>
      <c r="J14" s="602">
        <f>IF(基本情報入力シート!K35="","",基本情報入力シート!K35)</f>
        <v>5</v>
      </c>
      <c r="K14" s="603">
        <f>IF(基本情報入力シート!L35="","",基本情報入力シート!L35)</f>
        <v>5</v>
      </c>
      <c r="L14" s="604" t="str">
        <f>IF(基本情報入力シート!M35="","",基本情報入力シート!M35)</f>
        <v>一宮市</v>
      </c>
      <c r="M14" s="604" t="str">
        <f>IF(基本情報入力シート!R35="","",基本情報入力シート!R35)</f>
        <v>愛知県</v>
      </c>
      <c r="N14" s="604" t="str">
        <f>IF(基本情報入力シート!W35="","",基本情報入力シート!W35)</f>
        <v>一宮市</v>
      </c>
      <c r="O14" s="599" t="str">
        <f>IF(基本情報入力シート!X35="","",基本情報入力シート!X35)</f>
        <v>デイサービスセンターさくら</v>
      </c>
      <c r="P14" s="605" t="str">
        <f>IF(基本情報入力シート!Y35="","",基本情報入力シート!Y35)</f>
        <v>通所介護</v>
      </c>
      <c r="Q14" s="606">
        <f>IF(基本情報入力シート!Z35="","",基本情報入力シート!Z35)</f>
        <v>689397</v>
      </c>
      <c r="R14" s="607">
        <f>IF(基本情報入力シート!AA35="","",基本情報入力シート!AA35)</f>
        <v>10.14</v>
      </c>
      <c r="S14" s="608" t="s">
        <v>548</v>
      </c>
      <c r="T14" s="609" t="s">
        <v>549</v>
      </c>
      <c r="U14" s="610">
        <f>IF(P14="","",VLOOKUP(P14,【参考】数式用!$A$5:$I$38,MATCH(T14,【参考】数式用!$C$4:$G$4,0)+2,0))</f>
        <v>5.8999999999999997E-2</v>
      </c>
      <c r="V14" s="244" t="s">
        <v>34</v>
      </c>
      <c r="W14" s="611">
        <v>4</v>
      </c>
      <c r="X14" s="241" t="s">
        <v>12</v>
      </c>
      <c r="Y14" s="611">
        <v>4</v>
      </c>
      <c r="Z14" s="393" t="s">
        <v>102</v>
      </c>
      <c r="AA14" s="612">
        <v>5</v>
      </c>
      <c r="AB14" s="241" t="s">
        <v>12</v>
      </c>
      <c r="AC14" s="612">
        <v>3</v>
      </c>
      <c r="AD14" s="241" t="s">
        <v>17</v>
      </c>
      <c r="AE14" s="613" t="s">
        <v>49</v>
      </c>
      <c r="AF14" s="614">
        <f t="shared" si="0"/>
        <v>12</v>
      </c>
      <c r="AG14" s="615" t="s">
        <v>69</v>
      </c>
      <c r="AH14" s="616">
        <f t="shared" si="1"/>
        <v>4949256</v>
      </c>
    </row>
    <row r="15" spans="1:34" ht="36.75" customHeight="1">
      <c r="A15" s="599">
        <f t="shared" si="2"/>
        <v>4</v>
      </c>
      <c r="B15" s="600">
        <f>IF(基本情報入力シート!C36="","",基本情報入力シート!C36)</f>
        <v>2</v>
      </c>
      <c r="C15" s="601">
        <f>IF(基本情報入力シート!D36="","",基本情報入力シート!D36)</f>
        <v>3</v>
      </c>
      <c r="D15" s="602">
        <f>IF(基本情報入力シート!E36="","",基本情報入力シート!E36)</f>
        <v>7</v>
      </c>
      <c r="E15" s="602">
        <f>IF(基本情報入力シート!F36="","",基本情報入力シート!F36)</f>
        <v>2</v>
      </c>
      <c r="F15" s="602">
        <f>IF(基本情報入力シート!G36="","",基本情報入力シート!G36)</f>
        <v>2</v>
      </c>
      <c r="G15" s="602">
        <f>IF(基本情報入力シート!H36="","",基本情報入力シート!H36)</f>
        <v>0</v>
      </c>
      <c r="H15" s="602">
        <f>IF(基本情報入力シート!I36="","",基本情報入力シート!I36)</f>
        <v>2</v>
      </c>
      <c r="I15" s="602">
        <f>IF(基本情報入力シート!J36="","",基本情報入力シート!J36)</f>
        <v>2</v>
      </c>
      <c r="J15" s="602">
        <f>IF(基本情報入力シート!K36="","",基本情報入力シート!K36)</f>
        <v>5</v>
      </c>
      <c r="K15" s="603">
        <f>IF(基本情報入力シート!L36="","",基本情報入力シート!L36)</f>
        <v>5</v>
      </c>
      <c r="L15" s="604" t="str">
        <f>IF(基本情報入力シート!M36="","",基本情報入力シート!M36)</f>
        <v>一宮市</v>
      </c>
      <c r="M15" s="604" t="str">
        <f>IF(基本情報入力シート!R36="","",基本情報入力シート!R36)</f>
        <v>愛知県</v>
      </c>
      <c r="N15" s="604" t="str">
        <f>IF(基本情報入力シート!W36="","",基本情報入力シート!W36)</f>
        <v>一宮市</v>
      </c>
      <c r="O15" s="599" t="str">
        <f>IF(基本情報入力シート!X36="","",基本情報入力シート!X36)</f>
        <v>デイサービスセンターさくら</v>
      </c>
      <c r="P15" s="605" t="str">
        <f>IF(基本情報入力シート!Y36="","",基本情報入力シート!Y36)</f>
        <v>通所型サービス（総合事業）</v>
      </c>
      <c r="Q15" s="606">
        <f>IF(基本情報入力シート!Z36="","",基本情報入力シート!Z36)</f>
        <v>65997</v>
      </c>
      <c r="R15" s="607">
        <f>IF(基本情報入力シート!AA36="","",基本情報入力シート!AA36)</f>
        <v>10.14</v>
      </c>
      <c r="S15" s="608" t="s">
        <v>548</v>
      </c>
      <c r="T15" s="609" t="s">
        <v>549</v>
      </c>
      <c r="U15" s="610">
        <f>IF(P15="","",VLOOKUP(P15,【参考】数式用!$A$5:$I$38,MATCH(T15,【参考】数式用!$C$4:$G$4,0)+2,0))</f>
        <v>5.8999999999999997E-2</v>
      </c>
      <c r="V15" s="244" t="s">
        <v>34</v>
      </c>
      <c r="W15" s="611">
        <v>4</v>
      </c>
      <c r="X15" s="241" t="s">
        <v>12</v>
      </c>
      <c r="Y15" s="611">
        <v>4</v>
      </c>
      <c r="Z15" s="393" t="s">
        <v>102</v>
      </c>
      <c r="AA15" s="612">
        <v>5</v>
      </c>
      <c r="AB15" s="241" t="s">
        <v>12</v>
      </c>
      <c r="AC15" s="612">
        <v>3</v>
      </c>
      <c r="AD15" s="241" t="s">
        <v>17</v>
      </c>
      <c r="AE15" s="613" t="s">
        <v>49</v>
      </c>
      <c r="AF15" s="614">
        <f t="shared" si="0"/>
        <v>12</v>
      </c>
      <c r="AG15" s="615" t="s">
        <v>69</v>
      </c>
      <c r="AH15" s="616">
        <f t="shared" si="1"/>
        <v>473796</v>
      </c>
    </row>
    <row r="16" spans="1:34" ht="36.75" customHeight="1">
      <c r="A16" s="599">
        <f t="shared" si="2"/>
        <v>5</v>
      </c>
      <c r="B16" s="600">
        <f>IF(基本情報入力シート!C37="","",基本情報入力シート!C37)</f>
        <v>2</v>
      </c>
      <c r="C16" s="601">
        <f>IF(基本情報入力シート!D37="","",基本情報入力シート!D37)</f>
        <v>3</v>
      </c>
      <c r="D16" s="602">
        <f>IF(基本情報入力シート!E37="","",基本情報入力シート!E37)</f>
        <v>7</v>
      </c>
      <c r="E16" s="602">
        <f>IF(基本情報入力シート!F37="","",基本情報入力シート!F37)</f>
        <v>2</v>
      </c>
      <c r="F16" s="602">
        <f>IF(基本情報入力シート!G37="","",基本情報入力シート!G37)</f>
        <v>2</v>
      </c>
      <c r="G16" s="602">
        <f>IF(基本情報入力シート!H37="","",基本情報入力シート!H37)</f>
        <v>0</v>
      </c>
      <c r="H16" s="602">
        <f>IF(基本情報入力シート!I37="","",基本情報入力シート!I37)</f>
        <v>2</v>
      </c>
      <c r="I16" s="602">
        <f>IF(基本情報入力シート!J37="","",基本情報入力シート!J37)</f>
        <v>2</v>
      </c>
      <c r="J16" s="602">
        <f>IF(基本情報入力シート!K37="","",基本情報入力シート!K37)</f>
        <v>5</v>
      </c>
      <c r="K16" s="603">
        <f>IF(基本情報入力シート!L37="","",基本情報入力シート!L37)</f>
        <v>5</v>
      </c>
      <c r="L16" s="604" t="str">
        <f>IF(基本情報入力シート!M37="","",基本情報入力シート!M37)</f>
        <v>岩倉市</v>
      </c>
      <c r="M16" s="604" t="str">
        <f>IF(基本情報入力シート!R37="","",基本情報入力シート!R37)</f>
        <v>愛知県</v>
      </c>
      <c r="N16" s="604" t="str">
        <f>IF(基本情報入力シート!W37="","",基本情報入力シート!W37)</f>
        <v>一宮市</v>
      </c>
      <c r="O16" s="599" t="str">
        <f>IF(基本情報入力シート!X37="","",基本情報入力シート!X37)</f>
        <v>デイサービスセンターさくら</v>
      </c>
      <c r="P16" s="605" t="str">
        <f>IF(基本情報入力シート!Y37="","",基本情報入力シート!Y37)</f>
        <v>通所型サービス（総合事業）</v>
      </c>
      <c r="Q16" s="606">
        <f>IF(基本情報入力シート!Z37="","",基本情報入力シート!Z37)</f>
        <v>2004</v>
      </c>
      <c r="R16" s="607">
        <f>IF(基本情報入力シート!AA37="","",基本情報入力シート!AA37)</f>
        <v>10.14</v>
      </c>
      <c r="S16" s="608" t="s">
        <v>548</v>
      </c>
      <c r="T16" s="609" t="s">
        <v>549</v>
      </c>
      <c r="U16" s="610">
        <f>IF(P16="","",VLOOKUP(P16,【参考】数式用!$A$5:$I$38,MATCH(T16,【参考】数式用!$C$4:$G$4,0)+2,0))</f>
        <v>5.8999999999999997E-2</v>
      </c>
      <c r="V16" s="244" t="s">
        <v>34</v>
      </c>
      <c r="W16" s="611">
        <v>4</v>
      </c>
      <c r="X16" s="241" t="s">
        <v>12</v>
      </c>
      <c r="Y16" s="611">
        <v>4</v>
      </c>
      <c r="Z16" s="393" t="s">
        <v>102</v>
      </c>
      <c r="AA16" s="612">
        <v>5</v>
      </c>
      <c r="AB16" s="241" t="s">
        <v>12</v>
      </c>
      <c r="AC16" s="612">
        <v>3</v>
      </c>
      <c r="AD16" s="241" t="s">
        <v>17</v>
      </c>
      <c r="AE16" s="613" t="s">
        <v>49</v>
      </c>
      <c r="AF16" s="614">
        <f t="shared" si="0"/>
        <v>12</v>
      </c>
      <c r="AG16" s="615" t="s">
        <v>69</v>
      </c>
      <c r="AH16" s="616">
        <f t="shared" si="1"/>
        <v>14376</v>
      </c>
    </row>
    <row r="17" spans="1:34" ht="36.75" customHeight="1">
      <c r="A17" s="599">
        <f t="shared" si="2"/>
        <v>6</v>
      </c>
      <c r="B17" s="600">
        <f>IF(基本情報入力シート!C38="","",基本情報入力シート!C38)</f>
        <v>2</v>
      </c>
      <c r="C17" s="601">
        <f>IF(基本情報入力シート!D38="","",基本情報入力シート!D38)</f>
        <v>3</v>
      </c>
      <c r="D17" s="602">
        <f>IF(基本情報入力シート!E38="","",基本情報入力シート!E38)</f>
        <v>7</v>
      </c>
      <c r="E17" s="602">
        <f>IF(基本情報入力シート!F38="","",基本情報入力シート!F38)</f>
        <v>2</v>
      </c>
      <c r="F17" s="602">
        <f>IF(基本情報入力シート!G38="","",基本情報入力シート!G38)</f>
        <v>2</v>
      </c>
      <c r="G17" s="602">
        <f>IF(基本情報入力シート!H38="","",基本情報入力シート!H38)</f>
        <v>0</v>
      </c>
      <c r="H17" s="602">
        <f>IF(基本情報入力シート!I38="","",基本情報入力シート!I38)</f>
        <v>2</v>
      </c>
      <c r="I17" s="602">
        <f>IF(基本情報入力シート!J38="","",基本情報入力シート!J38)</f>
        <v>2</v>
      </c>
      <c r="J17" s="602">
        <f>IF(基本情報入力シート!K38="","",基本情報入力シート!K38)</f>
        <v>5</v>
      </c>
      <c r="K17" s="603">
        <f>IF(基本情報入力シート!L38="","",基本情報入力シート!L38)</f>
        <v>5</v>
      </c>
      <c r="L17" s="604" t="str">
        <f>IF(基本情報入力シート!M38="","",基本情報入力シート!M38)</f>
        <v>稲沢市</v>
      </c>
      <c r="M17" s="604" t="str">
        <f>IF(基本情報入力シート!R38="","",基本情報入力シート!R38)</f>
        <v>愛知県</v>
      </c>
      <c r="N17" s="604" t="str">
        <f>IF(基本情報入力シート!W38="","",基本情報入力シート!W38)</f>
        <v>一宮市</v>
      </c>
      <c r="O17" s="599" t="str">
        <f>IF(基本情報入力シート!X38="","",基本情報入力シート!X38)</f>
        <v>デイサービスセンターさくら</v>
      </c>
      <c r="P17" s="605" t="str">
        <f>IF(基本情報入力シート!Y38="","",基本情報入力シート!Y38)</f>
        <v>通所型サービス（総合事業）</v>
      </c>
      <c r="Q17" s="606">
        <f>IF(基本情報入力シート!Z38="","",基本情報入力シート!Z38)</f>
        <v>0</v>
      </c>
      <c r="R17" s="607">
        <f>IF(基本情報入力シート!AA38="","",基本情報入力シート!AA38)</f>
        <v>10.14</v>
      </c>
      <c r="S17" s="608" t="s">
        <v>548</v>
      </c>
      <c r="T17" s="609" t="s">
        <v>549</v>
      </c>
      <c r="U17" s="610">
        <f>IF(P17="","",VLOOKUP(P17,【参考】数式用!$A$5:$I$38,MATCH(T17,【参考】数式用!$C$4:$G$4,0)+2,0))</f>
        <v>5.8999999999999997E-2</v>
      </c>
      <c r="V17" s="244" t="s">
        <v>201</v>
      </c>
      <c r="W17" s="611">
        <v>4</v>
      </c>
      <c r="X17" s="241" t="s">
        <v>202</v>
      </c>
      <c r="Y17" s="611">
        <v>4</v>
      </c>
      <c r="Z17" s="393" t="s">
        <v>203</v>
      </c>
      <c r="AA17" s="612">
        <v>5</v>
      </c>
      <c r="AB17" s="241" t="s">
        <v>202</v>
      </c>
      <c r="AC17" s="612">
        <v>3</v>
      </c>
      <c r="AD17" s="241" t="s">
        <v>204</v>
      </c>
      <c r="AE17" s="613" t="s">
        <v>205</v>
      </c>
      <c r="AF17" s="614">
        <f t="shared" ref="AF17:AF80" si="3">IF(W17&gt;=1,(AA17*12+AC17)-(W17*12+Y17)+1,"")</f>
        <v>12</v>
      </c>
      <c r="AG17" s="615" t="s">
        <v>206</v>
      </c>
      <c r="AH17" s="616">
        <f t="shared" si="1"/>
        <v>0</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topLeftCell="I2" zoomScale="55" zoomScaleNormal="55" zoomScaleSheetLayoutView="55" workbookViewId="0">
      <selection activeCell="AD18" sqref="AD18"/>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有限会社さくらハーティーケア</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f>IF((SUM(AI12:AI111))=0,"",SUM(AI12:AI111))</f>
        <v>2298660</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8"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9"/>
      <c r="S8" s="626"/>
      <c r="T8" s="1314" t="s">
        <v>10</v>
      </c>
      <c r="U8" s="1315"/>
      <c r="V8" s="627" t="s">
        <v>35</v>
      </c>
      <c r="W8" s="1316" t="s">
        <v>29</v>
      </c>
      <c r="X8" s="1317"/>
      <c r="Y8" s="1317"/>
      <c r="Z8" s="1317"/>
      <c r="AA8" s="1317"/>
      <c r="AB8" s="1317"/>
      <c r="AC8" s="1317"/>
      <c r="AD8" s="1317"/>
      <c r="AE8" s="1317"/>
      <c r="AF8" s="1317"/>
      <c r="AG8" s="1317"/>
      <c r="AH8" s="1317"/>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2"/>
      <c r="N9" s="1323"/>
      <c r="O9" s="1289"/>
      <c r="P9" s="1291"/>
      <c r="Q9" s="1293"/>
      <c r="R9" s="1319"/>
      <c r="S9" s="1307" t="s">
        <v>116</v>
      </c>
      <c r="T9" s="1312" t="s">
        <v>210</v>
      </c>
      <c r="U9" s="1313" t="s">
        <v>137</v>
      </c>
      <c r="V9" s="1320"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9"/>
      <c r="S10" s="1307"/>
      <c r="T10" s="1312"/>
      <c r="U10" s="1313"/>
      <c r="V10" s="1321"/>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f>IF(基本情報入力シート!C33="","",基本情報入力シート!C33)</f>
        <v>2</v>
      </c>
      <c r="C12" s="601">
        <f>IF(基本情報入力シート!D33="","",基本情報入力シート!D33)</f>
        <v>3</v>
      </c>
      <c r="D12" s="602">
        <f>IF(基本情報入力シート!E33="","",基本情報入力シート!E33)</f>
        <v>7</v>
      </c>
      <c r="E12" s="602">
        <f>IF(基本情報入力シート!F33="","",基本情報入力シート!F33)</f>
        <v>2</v>
      </c>
      <c r="F12" s="602">
        <f>IF(基本情報入力シート!G33="","",基本情報入力シート!G33)</f>
        <v>2</v>
      </c>
      <c r="G12" s="602">
        <f>IF(基本情報入力シート!H33="","",基本情報入力シート!H33)</f>
        <v>0</v>
      </c>
      <c r="H12" s="602">
        <f>IF(基本情報入力シート!I33="","",基本情報入力シート!I33)</f>
        <v>2</v>
      </c>
      <c r="I12" s="602">
        <f>IF(基本情報入力シート!J33="","",基本情報入力シート!J33)</f>
        <v>2</v>
      </c>
      <c r="J12" s="602">
        <f>IF(基本情報入力シート!K33="","",基本情報入力シート!K33)</f>
        <v>6</v>
      </c>
      <c r="K12" s="603">
        <f>IF(基本情報入力シート!L33="","",基本情報入力シート!L33)</f>
        <v>3</v>
      </c>
      <c r="L12" s="604" t="str">
        <f>IF(基本情報入力シート!M33="","",基本情報入力シート!M33)</f>
        <v>一宮市</v>
      </c>
      <c r="M12" s="604" t="str">
        <f>IF(基本情報入力シート!R33="","",基本情報入力シート!R33)</f>
        <v>愛知県</v>
      </c>
      <c r="N12" s="604" t="str">
        <f>IF(基本情報入力シート!W33="","",基本情報入力シート!W33)</f>
        <v>一宮市</v>
      </c>
      <c r="O12" s="599" t="str">
        <f>IF(基本情報入力シート!X33="","",基本情報入力シート!X33)</f>
        <v>介護付有料老人ホームさくら苑</v>
      </c>
      <c r="P12" s="605" t="str">
        <f>IF(基本情報入力シート!Y33="","",基本情報入力シート!Y33)</f>
        <v>特定施設入居者生活介護</v>
      </c>
      <c r="Q12" s="606">
        <f>IF(基本情報入力シート!Z33="","",基本情報入力シート!Z33)</f>
        <v>544584</v>
      </c>
      <c r="R12" s="633">
        <f>IF(基本情報入力シート!AA33="","",基本情報入力シート!AA33)</f>
        <v>10.14</v>
      </c>
      <c r="S12" s="634" t="s">
        <v>548</v>
      </c>
      <c r="T12" s="635" t="s">
        <v>550</v>
      </c>
      <c r="U12" s="636">
        <f>IF(P12="","",VLOOKUP(P12,【参考】数式用!$A$5:$I$38,MATCH(T12,【参考】数式用!$H$4:$I$4,0)+7,0))</f>
        <v>1.7999999999999999E-2</v>
      </c>
      <c r="V12" s="846" t="s">
        <v>366</v>
      </c>
      <c r="W12" s="244" t="s">
        <v>34</v>
      </c>
      <c r="X12" s="637">
        <v>4</v>
      </c>
      <c r="Y12" s="241" t="s">
        <v>12</v>
      </c>
      <c r="Z12" s="637">
        <v>4</v>
      </c>
      <c r="AA12" s="393" t="s">
        <v>102</v>
      </c>
      <c r="AB12" s="637">
        <v>5</v>
      </c>
      <c r="AC12" s="241" t="s">
        <v>12</v>
      </c>
      <c r="AD12" s="637">
        <v>3</v>
      </c>
      <c r="AE12" s="241" t="s">
        <v>17</v>
      </c>
      <c r="AF12" s="613" t="s">
        <v>49</v>
      </c>
      <c r="AG12" s="615">
        <f t="shared" ref="AG12:AG16" si="0">IF(X12&gt;=1,(AB12*12+AD12)-(X12*12+Z12)+1,"")</f>
        <v>12</v>
      </c>
      <c r="AH12" s="615" t="s">
        <v>69</v>
      </c>
      <c r="AI12" s="616">
        <f t="shared" ref="AI12:AI43" si="1">IFERROR(ROUNDDOWN(ROUND(Q12*R12,0)*U12,0)*AG12,"")</f>
        <v>1192764</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f>IF(基本情報入力シート!C34="","",基本情報入力シート!C34)</f>
        <v>2</v>
      </c>
      <c r="C13" s="601">
        <f>IF(基本情報入力シート!D34="","",基本情報入力シート!D34)</f>
        <v>3</v>
      </c>
      <c r="D13" s="602">
        <f>IF(基本情報入力シート!E34="","",基本情報入力シート!E34)</f>
        <v>7</v>
      </c>
      <c r="E13" s="602">
        <f>IF(基本情報入力シート!F34="","",基本情報入力シート!F34)</f>
        <v>2</v>
      </c>
      <c r="F13" s="602">
        <f>IF(基本情報入力シート!G34="","",基本情報入力シート!G34)</f>
        <v>2</v>
      </c>
      <c r="G13" s="602">
        <f>IF(基本情報入力シート!H34="","",基本情報入力シート!H34)</f>
        <v>0</v>
      </c>
      <c r="H13" s="602">
        <f>IF(基本情報入力シート!I34="","",基本情報入力シート!I34)</f>
        <v>2</v>
      </c>
      <c r="I13" s="602">
        <f>IF(基本情報入力シート!J34="","",基本情報入力シート!J34)</f>
        <v>2</v>
      </c>
      <c r="J13" s="602">
        <f>IF(基本情報入力シート!K34="","",基本情報入力シート!K34)</f>
        <v>6</v>
      </c>
      <c r="K13" s="603">
        <f>IF(基本情報入力シート!L34="","",基本情報入力シート!L34)</f>
        <v>3</v>
      </c>
      <c r="L13" s="604" t="str">
        <f>IF(基本情報入力シート!M34="","",基本情報入力シート!M34)</f>
        <v>一宮市</v>
      </c>
      <c r="M13" s="604" t="str">
        <f>IF(基本情報入力シート!R34="","",基本情報入力シート!R34)</f>
        <v>愛知県</v>
      </c>
      <c r="N13" s="604" t="str">
        <f>IF(基本情報入力シート!W34="","",基本情報入力シート!W34)</f>
        <v>一宮市</v>
      </c>
      <c r="O13" s="599" t="str">
        <f>IF(基本情報入力シート!X34="","",基本情報入力シート!X34)</f>
        <v>介護付有料老人ホームさくら苑</v>
      </c>
      <c r="P13" s="605" t="str">
        <f>IF(基本情報入力シート!Y34="","",基本情報入力シート!Y34)</f>
        <v>介護予防特定施設入居者生活介護</v>
      </c>
      <c r="Q13" s="606">
        <f>IF(基本情報入力シート!Z34="","",基本情報入力シート!Z34)</f>
        <v>0</v>
      </c>
      <c r="R13" s="633">
        <f>IF(基本情報入力シート!AA34="","",基本情報入力シート!AA34)</f>
        <v>10.14</v>
      </c>
      <c r="S13" s="634" t="s">
        <v>548</v>
      </c>
      <c r="T13" s="635" t="s">
        <v>551</v>
      </c>
      <c r="U13" s="636">
        <f>IF(P13="","",VLOOKUP(P13,【参考】数式用!$A$5:$I$38,MATCH(T13,【参考】数式用!$H$4:$I$4,0)+7,0))</f>
        <v>1.2E-2</v>
      </c>
      <c r="V13" s="846" t="s">
        <v>259</v>
      </c>
      <c r="W13" s="244" t="s">
        <v>34</v>
      </c>
      <c r="X13" s="637">
        <v>4</v>
      </c>
      <c r="Y13" s="241" t="s">
        <v>12</v>
      </c>
      <c r="Z13" s="637">
        <v>4</v>
      </c>
      <c r="AA13" s="393" t="s">
        <v>102</v>
      </c>
      <c r="AB13" s="637">
        <v>5</v>
      </c>
      <c r="AC13" s="241" t="s">
        <v>12</v>
      </c>
      <c r="AD13" s="637">
        <v>3</v>
      </c>
      <c r="AE13" s="241" t="s">
        <v>17</v>
      </c>
      <c r="AF13" s="613" t="s">
        <v>49</v>
      </c>
      <c r="AG13" s="614">
        <f t="shared" si="0"/>
        <v>12</v>
      </c>
      <c r="AH13" s="615" t="s">
        <v>69</v>
      </c>
      <c r="AI13" s="616">
        <f t="shared" si="1"/>
        <v>0</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f>IF(基本情報入力シート!C35="","",基本情報入力シート!C35)</f>
        <v>2</v>
      </c>
      <c r="C14" s="601">
        <f>IF(基本情報入力シート!D35="","",基本情報入力シート!D35)</f>
        <v>3</v>
      </c>
      <c r="D14" s="602">
        <f>IF(基本情報入力シート!E35="","",基本情報入力シート!E35)</f>
        <v>7</v>
      </c>
      <c r="E14" s="602">
        <f>IF(基本情報入力シート!F35="","",基本情報入力シート!F35)</f>
        <v>2</v>
      </c>
      <c r="F14" s="602">
        <f>IF(基本情報入力シート!G35="","",基本情報入力シート!G35)</f>
        <v>2</v>
      </c>
      <c r="G14" s="602">
        <f>IF(基本情報入力シート!H35="","",基本情報入力シート!H35)</f>
        <v>0</v>
      </c>
      <c r="H14" s="602">
        <f>IF(基本情報入力シート!I35="","",基本情報入力シート!I35)</f>
        <v>2</v>
      </c>
      <c r="I14" s="602">
        <f>IF(基本情報入力シート!J35="","",基本情報入力シート!J35)</f>
        <v>2</v>
      </c>
      <c r="J14" s="602">
        <f>IF(基本情報入力シート!K35="","",基本情報入力シート!K35)</f>
        <v>5</v>
      </c>
      <c r="K14" s="603">
        <f>IF(基本情報入力シート!L35="","",基本情報入力シート!L35)</f>
        <v>5</v>
      </c>
      <c r="L14" s="604" t="str">
        <f>IF(基本情報入力シート!M35="","",基本情報入力シート!M35)</f>
        <v>一宮市</v>
      </c>
      <c r="M14" s="604" t="str">
        <f>IF(基本情報入力シート!R35="","",基本情報入力シート!R35)</f>
        <v>愛知県</v>
      </c>
      <c r="N14" s="604" t="str">
        <f>IF(基本情報入力シート!W35="","",基本情報入力シート!W35)</f>
        <v>一宮市</v>
      </c>
      <c r="O14" s="599" t="str">
        <f>IF(基本情報入力シート!X35="","",基本情報入力シート!X35)</f>
        <v>デイサービスセンターさくら</v>
      </c>
      <c r="P14" s="605" t="str">
        <f>IF(基本情報入力シート!Y35="","",基本情報入力シート!Y35)</f>
        <v>通所介護</v>
      </c>
      <c r="Q14" s="606">
        <f>IF(基本情報入力シート!Z35="","",基本情報入力シート!Z35)</f>
        <v>689397</v>
      </c>
      <c r="R14" s="633">
        <f>IF(基本情報入力シート!AA35="","",基本情報入力シート!AA35)</f>
        <v>10.14</v>
      </c>
      <c r="S14" s="634" t="s">
        <v>548</v>
      </c>
      <c r="T14" s="635" t="s">
        <v>550</v>
      </c>
      <c r="U14" s="636">
        <f>IF(P14="","",VLOOKUP(P14,【参考】数式用!$A$5:$I$38,MATCH(T14,【参考】数式用!$H$4:$I$4,0)+7,0))</f>
        <v>1.2E-2</v>
      </c>
      <c r="V14" s="846" t="s">
        <v>361</v>
      </c>
      <c r="W14" s="244" t="s">
        <v>34</v>
      </c>
      <c r="X14" s="637">
        <v>4</v>
      </c>
      <c r="Y14" s="241" t="s">
        <v>12</v>
      </c>
      <c r="Z14" s="637">
        <v>4</v>
      </c>
      <c r="AA14" s="393" t="s">
        <v>102</v>
      </c>
      <c r="AB14" s="637">
        <v>5</v>
      </c>
      <c r="AC14" s="241" t="s">
        <v>12</v>
      </c>
      <c r="AD14" s="637">
        <v>3</v>
      </c>
      <c r="AE14" s="241" t="s">
        <v>17</v>
      </c>
      <c r="AF14" s="613" t="s">
        <v>49</v>
      </c>
      <c r="AG14" s="614">
        <f t="shared" si="0"/>
        <v>12</v>
      </c>
      <c r="AH14" s="615" t="s">
        <v>69</v>
      </c>
      <c r="AI14" s="616">
        <f t="shared" si="1"/>
        <v>1006620</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f>IF(基本情報入力シート!C36="","",基本情報入力シート!C36)</f>
        <v>2</v>
      </c>
      <c r="C15" s="601">
        <f>IF(基本情報入力シート!D36="","",基本情報入力シート!D36)</f>
        <v>3</v>
      </c>
      <c r="D15" s="602">
        <f>IF(基本情報入力シート!E36="","",基本情報入力シート!E36)</f>
        <v>7</v>
      </c>
      <c r="E15" s="602">
        <f>IF(基本情報入力シート!F36="","",基本情報入力シート!F36)</f>
        <v>2</v>
      </c>
      <c r="F15" s="602">
        <f>IF(基本情報入力シート!G36="","",基本情報入力シート!G36)</f>
        <v>2</v>
      </c>
      <c r="G15" s="602">
        <f>IF(基本情報入力シート!H36="","",基本情報入力シート!H36)</f>
        <v>0</v>
      </c>
      <c r="H15" s="602">
        <f>IF(基本情報入力シート!I36="","",基本情報入力シート!I36)</f>
        <v>2</v>
      </c>
      <c r="I15" s="602">
        <f>IF(基本情報入力シート!J36="","",基本情報入力シート!J36)</f>
        <v>2</v>
      </c>
      <c r="J15" s="602">
        <f>IF(基本情報入力シート!K36="","",基本情報入力シート!K36)</f>
        <v>5</v>
      </c>
      <c r="K15" s="603">
        <f>IF(基本情報入力シート!L36="","",基本情報入力シート!L36)</f>
        <v>5</v>
      </c>
      <c r="L15" s="604" t="str">
        <f>IF(基本情報入力シート!M36="","",基本情報入力シート!M36)</f>
        <v>一宮市</v>
      </c>
      <c r="M15" s="604" t="str">
        <f>IF(基本情報入力シート!R36="","",基本情報入力シート!R36)</f>
        <v>愛知県</v>
      </c>
      <c r="N15" s="604" t="str">
        <f>IF(基本情報入力シート!W36="","",基本情報入力シート!W36)</f>
        <v>一宮市</v>
      </c>
      <c r="O15" s="599" t="str">
        <f>IF(基本情報入力シート!X36="","",基本情報入力シート!X36)</f>
        <v>デイサービスセンターさくら</v>
      </c>
      <c r="P15" s="605" t="str">
        <f>IF(基本情報入力シート!Y36="","",基本情報入力シート!Y36)</f>
        <v>通所型サービス（総合事業）</v>
      </c>
      <c r="Q15" s="606">
        <f>IF(基本情報入力シート!Z36="","",基本情報入力シート!Z36)</f>
        <v>65997</v>
      </c>
      <c r="R15" s="633">
        <f>IF(基本情報入力シート!AA36="","",基本情報入力シート!AA36)</f>
        <v>10.14</v>
      </c>
      <c r="S15" s="634" t="s">
        <v>548</v>
      </c>
      <c r="T15" s="635" t="s">
        <v>550</v>
      </c>
      <c r="U15" s="636">
        <f>IF(P15="","",VLOOKUP(P15,【参考】数式用!$A$5:$I$38,MATCH(T15,【参考】数式用!$H$4:$I$4,0)+7,0))</f>
        <v>1.2E-2</v>
      </c>
      <c r="V15" s="846" t="s">
        <v>552</v>
      </c>
      <c r="W15" s="244" t="s">
        <v>34</v>
      </c>
      <c r="X15" s="637">
        <v>4</v>
      </c>
      <c r="Y15" s="241" t="s">
        <v>12</v>
      </c>
      <c r="Z15" s="637">
        <v>4</v>
      </c>
      <c r="AA15" s="393" t="s">
        <v>102</v>
      </c>
      <c r="AB15" s="637">
        <v>5</v>
      </c>
      <c r="AC15" s="241" t="s">
        <v>12</v>
      </c>
      <c r="AD15" s="637">
        <v>3</v>
      </c>
      <c r="AE15" s="241" t="s">
        <v>17</v>
      </c>
      <c r="AF15" s="613" t="s">
        <v>49</v>
      </c>
      <c r="AG15" s="614">
        <f t="shared" si="0"/>
        <v>12</v>
      </c>
      <c r="AH15" s="615" t="s">
        <v>69</v>
      </c>
      <c r="AI15" s="616">
        <f t="shared" si="1"/>
        <v>96360</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f>IF(基本情報入力シート!C37="","",基本情報入力シート!C37)</f>
        <v>2</v>
      </c>
      <c r="C16" s="601">
        <f>IF(基本情報入力シート!D37="","",基本情報入力シート!D37)</f>
        <v>3</v>
      </c>
      <c r="D16" s="602">
        <f>IF(基本情報入力シート!E37="","",基本情報入力シート!E37)</f>
        <v>7</v>
      </c>
      <c r="E16" s="602">
        <f>IF(基本情報入力シート!F37="","",基本情報入力シート!F37)</f>
        <v>2</v>
      </c>
      <c r="F16" s="602">
        <f>IF(基本情報入力シート!G37="","",基本情報入力シート!G37)</f>
        <v>2</v>
      </c>
      <c r="G16" s="602">
        <f>IF(基本情報入力シート!H37="","",基本情報入力シート!H37)</f>
        <v>0</v>
      </c>
      <c r="H16" s="602">
        <f>IF(基本情報入力シート!I37="","",基本情報入力シート!I37)</f>
        <v>2</v>
      </c>
      <c r="I16" s="602">
        <f>IF(基本情報入力シート!J37="","",基本情報入力シート!J37)</f>
        <v>2</v>
      </c>
      <c r="J16" s="602">
        <f>IF(基本情報入力シート!K37="","",基本情報入力シート!K37)</f>
        <v>5</v>
      </c>
      <c r="K16" s="603">
        <f>IF(基本情報入力シート!L37="","",基本情報入力シート!L37)</f>
        <v>5</v>
      </c>
      <c r="L16" s="604" t="str">
        <f>IF(基本情報入力シート!M37="","",基本情報入力シート!M37)</f>
        <v>岩倉市</v>
      </c>
      <c r="M16" s="604" t="str">
        <f>IF(基本情報入力シート!R37="","",基本情報入力シート!R37)</f>
        <v>愛知県</v>
      </c>
      <c r="N16" s="604" t="str">
        <f>IF(基本情報入力シート!W37="","",基本情報入力シート!W37)</f>
        <v>一宮市</v>
      </c>
      <c r="O16" s="599" t="str">
        <f>IF(基本情報入力シート!X37="","",基本情報入力シート!X37)</f>
        <v>デイサービスセンターさくら</v>
      </c>
      <c r="P16" s="605" t="str">
        <f>IF(基本情報入力シート!Y37="","",基本情報入力シート!Y37)</f>
        <v>通所型サービス（総合事業）</v>
      </c>
      <c r="Q16" s="606">
        <f>IF(基本情報入力シート!Z37="","",基本情報入力シート!Z37)</f>
        <v>2004</v>
      </c>
      <c r="R16" s="633">
        <f>IF(基本情報入力シート!AA37="","",基本情報入力シート!AA37)</f>
        <v>10.14</v>
      </c>
      <c r="S16" s="634" t="s">
        <v>548</v>
      </c>
      <c r="T16" s="635" t="s">
        <v>550</v>
      </c>
      <c r="U16" s="636">
        <f>IF(P16="","",VLOOKUP(P16,【参考】数式用!$A$5:$I$38,MATCH(T16,【参考】数式用!$H$4:$I$4,0)+7,0))</f>
        <v>1.2E-2</v>
      </c>
      <c r="V16" s="846" t="s">
        <v>552</v>
      </c>
      <c r="W16" s="244" t="s">
        <v>34</v>
      </c>
      <c r="X16" s="637">
        <v>4</v>
      </c>
      <c r="Y16" s="241" t="s">
        <v>12</v>
      </c>
      <c r="Z16" s="637">
        <v>4</v>
      </c>
      <c r="AA16" s="393" t="s">
        <v>102</v>
      </c>
      <c r="AB16" s="637">
        <v>5</v>
      </c>
      <c r="AC16" s="241" t="s">
        <v>12</v>
      </c>
      <c r="AD16" s="637">
        <v>3</v>
      </c>
      <c r="AE16" s="241" t="s">
        <v>17</v>
      </c>
      <c r="AF16" s="613" t="s">
        <v>49</v>
      </c>
      <c r="AG16" s="614">
        <f t="shared" si="0"/>
        <v>12</v>
      </c>
      <c r="AH16" s="615" t="s">
        <v>69</v>
      </c>
      <c r="AI16" s="616">
        <f t="shared" si="1"/>
        <v>2916</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f>IF(基本情報入力シート!C38="","",基本情報入力シート!C38)</f>
        <v>2</v>
      </c>
      <c r="C17" s="601">
        <f>IF(基本情報入力シート!D38="","",基本情報入力シート!D38)</f>
        <v>3</v>
      </c>
      <c r="D17" s="602">
        <f>IF(基本情報入力シート!E38="","",基本情報入力シート!E38)</f>
        <v>7</v>
      </c>
      <c r="E17" s="602">
        <f>IF(基本情報入力シート!F38="","",基本情報入力シート!F38)</f>
        <v>2</v>
      </c>
      <c r="F17" s="602">
        <f>IF(基本情報入力シート!G38="","",基本情報入力シート!G38)</f>
        <v>2</v>
      </c>
      <c r="G17" s="602">
        <f>IF(基本情報入力シート!H38="","",基本情報入力シート!H38)</f>
        <v>0</v>
      </c>
      <c r="H17" s="602">
        <f>IF(基本情報入力シート!I38="","",基本情報入力シート!I38)</f>
        <v>2</v>
      </c>
      <c r="I17" s="602">
        <f>IF(基本情報入力シート!J38="","",基本情報入力シート!J38)</f>
        <v>2</v>
      </c>
      <c r="J17" s="602">
        <f>IF(基本情報入力シート!K38="","",基本情報入力シート!K38)</f>
        <v>5</v>
      </c>
      <c r="K17" s="603">
        <f>IF(基本情報入力シート!L38="","",基本情報入力シート!L38)</f>
        <v>5</v>
      </c>
      <c r="L17" s="604" t="str">
        <f>IF(基本情報入力シート!M38="","",基本情報入力シート!M38)</f>
        <v>稲沢市</v>
      </c>
      <c r="M17" s="604" t="str">
        <f>IF(基本情報入力シート!R38="","",基本情報入力シート!R38)</f>
        <v>愛知県</v>
      </c>
      <c r="N17" s="604" t="str">
        <f>IF(基本情報入力シート!W38="","",基本情報入力シート!W38)</f>
        <v>一宮市</v>
      </c>
      <c r="O17" s="599" t="str">
        <f>IF(基本情報入力シート!X38="","",基本情報入力シート!X38)</f>
        <v>デイサービスセンターさくら</v>
      </c>
      <c r="P17" s="605" t="str">
        <f>IF(基本情報入力シート!Y38="","",基本情報入力シート!Y38)</f>
        <v>通所型サービス（総合事業）</v>
      </c>
      <c r="Q17" s="606">
        <f>IF(基本情報入力シート!Z38="","",基本情報入力シート!Z38)</f>
        <v>0</v>
      </c>
      <c r="R17" s="633">
        <f>IF(基本情報入力シート!AA38="","",基本情報入力シート!AA38)</f>
        <v>10.14</v>
      </c>
      <c r="S17" s="634" t="s">
        <v>548</v>
      </c>
      <c r="T17" s="635" t="s">
        <v>550</v>
      </c>
      <c r="U17" s="636">
        <f>IF(P17="","",VLOOKUP(P17,【参考】数式用!$A$5:$I$38,MATCH(T17,【参考】数式用!$H$4:$I$4,0)+7,0))</f>
        <v>1.2E-2</v>
      </c>
      <c r="V17" s="846" t="s">
        <v>552</v>
      </c>
      <c r="W17" s="244" t="s">
        <v>201</v>
      </c>
      <c r="X17" s="637">
        <v>4</v>
      </c>
      <c r="Y17" s="241" t="s">
        <v>202</v>
      </c>
      <c r="Z17" s="637">
        <v>4</v>
      </c>
      <c r="AA17" s="393" t="s">
        <v>203</v>
      </c>
      <c r="AB17" s="637">
        <v>5</v>
      </c>
      <c r="AC17" s="241" t="s">
        <v>202</v>
      </c>
      <c r="AD17" s="637">
        <v>3</v>
      </c>
      <c r="AE17" s="241" t="s">
        <v>204</v>
      </c>
      <c r="AF17" s="613" t="s">
        <v>205</v>
      </c>
      <c r="AG17" s="614">
        <f t="shared" ref="AG17:AG80" si="5">IF(X17&gt;=1,(AB17*12+AD17)-(X17*12+Z17)+1,"")</f>
        <v>12</v>
      </c>
      <c r="AH17" s="615" t="s">
        <v>206</v>
      </c>
      <c r="AI17" s="616">
        <f t="shared" si="1"/>
        <v>0</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zoomScale="130" zoomScaleNormal="120" zoomScaleSheetLayoutView="130" workbookViewId="0">
      <selection activeCell="AD5" sqref="AD5"/>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
        <v>556</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ユウゲンガイシャサクラハーティーケア</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有限会社さくらハーティーケア</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491－0871</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愛知県一宮市浅野字居森野８４番地</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ツチヤ　ミキ</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土屋　美希</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0586-81-8001</v>
      </c>
      <c r="L15" s="1367"/>
      <c r="M15" s="1367"/>
      <c r="N15" s="1367"/>
      <c r="O15" s="1367"/>
      <c r="P15" s="1366" t="s">
        <v>1</v>
      </c>
      <c r="Q15" s="1366"/>
      <c r="R15" s="1366"/>
      <c r="S15" s="1366"/>
      <c r="T15" s="1367" t="str">
        <f>IF(基本情報入力シート!M25="","",基本情報入力シート!M25)</f>
        <v>0586-81-8002</v>
      </c>
      <c r="U15" s="1367"/>
      <c r="V15" s="1367"/>
      <c r="W15" s="1367"/>
      <c r="X15" s="1367"/>
      <c r="Y15" s="1366" t="s">
        <v>168</v>
      </c>
      <c r="Z15" s="1366"/>
      <c r="AA15" s="1366"/>
      <c r="AB15" s="1366"/>
      <c r="AC15" s="1368" t="str">
        <f>IF(基本情報入力シート!M26="","",基本情報入力シート!M26)</f>
        <v>sakuraen@aireikai.jp</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f>IF('（参考）補助金様式2-2'!P5=0,"",'（参考）補助金様式2-2'!P5)</f>
        <v>1330472</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f>IF((Z23-Z24)=0,"",(Z23-Z24))</f>
        <v>1336000</v>
      </c>
      <c r="AA22" s="1372"/>
      <c r="AB22" s="1372"/>
      <c r="AC22" s="1372"/>
      <c r="AD22" s="1372"/>
      <c r="AE22" s="1372"/>
      <c r="AF22" s="1373"/>
      <c r="AG22" s="1344" t="s">
        <v>2</v>
      </c>
      <c r="AH22" s="1366"/>
      <c r="AI22" s="705" t="s">
        <v>257</v>
      </c>
      <c r="AJ22" s="706" t="str">
        <f>IF(Z22="","",IF(Z21="","",IF(Z22&gt;Z21,"○","☓")))</f>
        <v>○</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v>75400905</v>
      </c>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v>74064905</v>
      </c>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1119500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1112400</v>
      </c>
      <c r="N27" s="1428"/>
      <c r="O27" s="1428"/>
      <c r="P27" s="1428"/>
      <c r="Q27" s="1428"/>
      <c r="R27" s="1428"/>
      <c r="S27" s="1429"/>
      <c r="T27" s="723" t="s">
        <v>2</v>
      </c>
      <c r="U27" s="724" t="s">
        <v>49</v>
      </c>
      <c r="V27" s="1422">
        <f>IFERROR(M27/M26*100,0)</f>
        <v>99.365788298347482</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139050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216500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216000</v>
      </c>
      <c r="N30" s="1420"/>
      <c r="O30" s="1420"/>
      <c r="P30" s="1420"/>
      <c r="Q30" s="1420"/>
      <c r="R30" s="1420"/>
      <c r="S30" s="1421"/>
      <c r="T30" s="723" t="s">
        <v>2</v>
      </c>
      <c r="U30" s="724" t="s">
        <v>49</v>
      </c>
      <c r="V30" s="1422">
        <f>IFERROR($M$30/$M$29*100,0)</f>
        <v>99.769053117782917</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27000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v>2</v>
      </c>
      <c r="AA32" s="1450"/>
      <c r="AB32" s="728" t="s">
        <v>13</v>
      </c>
      <c r="AC32" s="1343" t="s">
        <v>14</v>
      </c>
      <c r="AD32" s="1343"/>
      <c r="AE32" s="1437">
        <v>9</v>
      </c>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t="s">
        <v>555</v>
      </c>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v>4</v>
      </c>
      <c r="H66" s="1492"/>
      <c r="I66" s="776" t="s">
        <v>4</v>
      </c>
      <c r="J66" s="1491"/>
      <c r="K66" s="1492"/>
      <c r="L66" s="776" t="s">
        <v>3</v>
      </c>
      <c r="M66" s="777"/>
      <c r="N66" s="1493" t="s">
        <v>6</v>
      </c>
      <c r="O66" s="1493"/>
      <c r="P66" s="1493"/>
      <c r="Q66" s="1494" t="str">
        <f>IF(G9="","",G9)</f>
        <v>有限会社さくらハーティーケア</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t="s">
        <v>553</v>
      </c>
      <c r="T67" s="1477"/>
      <c r="U67" s="1477"/>
      <c r="V67" s="1477"/>
      <c r="W67" s="1477"/>
      <c r="X67" s="1478" t="s">
        <v>113</v>
      </c>
      <c r="Y67" s="1478"/>
      <c r="Z67" s="1477" t="s">
        <v>554</v>
      </c>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38100</xdr:rowOff>
                  </from>
                  <to>
                    <xdr:col>2</xdr:col>
                    <xdr:colOff>19050</xdr:colOff>
                    <xdr:row>53</xdr:row>
                    <xdr:rowOff>57150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38100</xdr:rowOff>
                  </from>
                  <to>
                    <xdr:col>2</xdr:col>
                    <xdr:colOff>19050</xdr:colOff>
                    <xdr:row>54</xdr:row>
                    <xdr:rowOff>57150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38100</xdr:rowOff>
                  </from>
                  <to>
                    <xdr:col>2</xdr:col>
                    <xdr:colOff>19050</xdr:colOff>
                    <xdr:row>55</xdr:row>
                    <xdr:rowOff>66675</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38100</xdr:rowOff>
                  </from>
                  <to>
                    <xdr:col>2</xdr:col>
                    <xdr:colOff>19050</xdr:colOff>
                    <xdr:row>59</xdr:row>
                    <xdr:rowOff>9525</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95250</xdr:rowOff>
                  </from>
                  <to>
                    <xdr:col>2</xdr:col>
                    <xdr:colOff>19050</xdr:colOff>
                    <xdr:row>56</xdr:row>
                    <xdr:rowOff>47625</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38100</xdr:rowOff>
                  </from>
                  <to>
                    <xdr:col>2</xdr:col>
                    <xdr:colOff>19050</xdr:colOff>
                    <xdr:row>55</xdr:row>
                    <xdr:rowOff>66675</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95250</xdr:rowOff>
                  </from>
                  <to>
                    <xdr:col>2</xdr:col>
                    <xdr:colOff>19050</xdr:colOff>
                    <xdr:row>57</xdr:row>
                    <xdr:rowOff>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38100</xdr:rowOff>
                  </from>
                  <to>
                    <xdr:col>2</xdr:col>
                    <xdr:colOff>19050</xdr:colOff>
                    <xdr:row>55</xdr:row>
                    <xdr:rowOff>66675</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51</xdr:row>
                    <xdr:rowOff>38100</xdr:rowOff>
                  </from>
                  <to>
                    <xdr:col>2</xdr:col>
                    <xdr:colOff>19050</xdr:colOff>
                    <xdr:row>51</xdr:row>
                    <xdr:rowOff>257175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38100</xdr:rowOff>
                  </from>
                  <to>
                    <xdr:col>2</xdr:col>
                    <xdr:colOff>19050</xdr:colOff>
                    <xdr:row>51</xdr:row>
                    <xdr:rowOff>47625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180975</xdr:colOff>
                    <xdr:row>41</xdr:row>
                    <xdr:rowOff>38100</xdr:rowOff>
                  </from>
                  <to>
                    <xdr:col>18</xdr:col>
                    <xdr:colOff>38100</xdr:colOff>
                    <xdr:row>42</xdr:row>
                    <xdr:rowOff>28575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12</xdr:col>
                    <xdr:colOff>19050</xdr:colOff>
                    <xdr:row>38</xdr:row>
                    <xdr:rowOff>76200</xdr:rowOff>
                  </from>
                  <to>
                    <xdr:col>13</xdr:col>
                    <xdr:colOff>66675</xdr:colOff>
                    <xdr:row>38</xdr:row>
                    <xdr:rowOff>295275</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9525</xdr:colOff>
                    <xdr:row>41</xdr:row>
                    <xdr:rowOff>38100</xdr:rowOff>
                  </from>
                  <to>
                    <xdr:col>5</xdr:col>
                    <xdr:colOff>38100</xdr:colOff>
                    <xdr:row>42</xdr:row>
                    <xdr:rowOff>28575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19050</xdr:colOff>
                    <xdr:row>41</xdr:row>
                    <xdr:rowOff>38100</xdr:rowOff>
                  </from>
                  <to>
                    <xdr:col>11</xdr:col>
                    <xdr:colOff>66675</xdr:colOff>
                    <xdr:row>42</xdr:row>
                    <xdr:rowOff>28575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8</xdr:col>
                    <xdr:colOff>19050</xdr:colOff>
                    <xdr:row>39</xdr:row>
                    <xdr:rowOff>85725</xdr:rowOff>
                  </from>
                  <to>
                    <xdr:col>9</xdr:col>
                    <xdr:colOff>66675</xdr:colOff>
                    <xdr:row>39</xdr:row>
                    <xdr:rowOff>304800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12</xdr:col>
                    <xdr:colOff>19050</xdr:colOff>
                    <xdr:row>39</xdr:row>
                    <xdr:rowOff>85725</xdr:rowOff>
                  </from>
                  <to>
                    <xdr:col>13</xdr:col>
                    <xdr:colOff>66675</xdr:colOff>
                    <xdr:row>39</xdr:row>
                    <xdr:rowOff>304800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26</xdr:col>
                    <xdr:colOff>19050</xdr:colOff>
                    <xdr:row>39</xdr:row>
                    <xdr:rowOff>85725</xdr:rowOff>
                  </from>
                  <to>
                    <xdr:col>27</xdr:col>
                    <xdr:colOff>66675</xdr:colOff>
                    <xdr:row>39</xdr:row>
                    <xdr:rowOff>304800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19</xdr:col>
                    <xdr:colOff>19050</xdr:colOff>
                    <xdr:row>38</xdr:row>
                    <xdr:rowOff>76200</xdr:rowOff>
                  </from>
                  <to>
                    <xdr:col>20</xdr:col>
                    <xdr:colOff>66675</xdr:colOff>
                    <xdr:row>38</xdr:row>
                    <xdr:rowOff>295275</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19</xdr:col>
                    <xdr:colOff>19050</xdr:colOff>
                    <xdr:row>39</xdr:row>
                    <xdr:rowOff>85725</xdr:rowOff>
                  </from>
                  <to>
                    <xdr:col>20</xdr:col>
                    <xdr:colOff>66675</xdr:colOff>
                    <xdr:row>39</xdr:row>
                    <xdr:rowOff>304800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8</xdr:col>
                    <xdr:colOff>19050</xdr:colOff>
                    <xdr:row>38</xdr:row>
                    <xdr:rowOff>76200</xdr:rowOff>
                  </from>
                  <to>
                    <xdr:col>9</xdr:col>
                    <xdr:colOff>66675</xdr:colOff>
                    <xdr:row>38</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111"/>
  <sheetViews>
    <sheetView topLeftCell="Q29" zoomScale="85" zoomScaleNormal="85" zoomScaleSheetLayoutView="40" zoomScalePageLayoutView="70" workbookViewId="0">
      <selection activeCell="AK18" sqref="AK18"/>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有限会社さくらハーティーケア</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f>IF(SUM(AH12:AH111)=0,"",SUM(AH12:AH111))</f>
        <v>1330472</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f>IF(基本情報入力シート!C33="","",基本情報入力シート!C33)</f>
        <v>2</v>
      </c>
      <c r="D12" s="823">
        <f>IF(基本情報入力シート!D33="","",基本情報入力シート!D33)</f>
        <v>3</v>
      </c>
      <c r="E12" s="823">
        <f>IF(基本情報入力シート!E33="","",基本情報入力シート!E33)</f>
        <v>7</v>
      </c>
      <c r="F12" s="823">
        <f>IF(基本情報入力シート!F33="","",基本情報入力シート!F33)</f>
        <v>2</v>
      </c>
      <c r="G12" s="823">
        <f>IF(基本情報入力シート!G33="","",基本情報入力シート!G33)</f>
        <v>2</v>
      </c>
      <c r="H12" s="823">
        <f>IF(基本情報入力シート!H33="","",基本情報入力シート!H33)</f>
        <v>0</v>
      </c>
      <c r="I12" s="823">
        <f>IF(基本情報入力シート!I33="","",基本情報入力シート!I33)</f>
        <v>2</v>
      </c>
      <c r="J12" s="823">
        <f>IF(基本情報入力シート!J33="","",基本情報入力シート!J33)</f>
        <v>2</v>
      </c>
      <c r="K12" s="823">
        <f>IF(基本情報入力シート!K33="","",基本情報入力シート!K33)</f>
        <v>6</v>
      </c>
      <c r="L12" s="861">
        <f>IF(基本情報入力シート!L33="","",基本情報入力シート!L33)</f>
        <v>3</v>
      </c>
      <c r="M12" s="824" t="str">
        <f>IF(基本情報入力シート!M33="","",基本情報入力シート!M33)</f>
        <v>一宮市</v>
      </c>
      <c r="N12" s="824" t="str">
        <f>IF(基本情報入力シート!R33="","",基本情報入力シート!R33)</f>
        <v>愛知県</v>
      </c>
      <c r="O12" s="824" t="str">
        <f>IF(基本情報入力シート!W33="","",基本情報入力シート!W33)</f>
        <v>一宮市</v>
      </c>
      <c r="P12" s="821" t="str">
        <f>IF(基本情報入力シート!X33="","",基本情報入力シート!X33)</f>
        <v>介護付有料老人ホームさくら苑</v>
      </c>
      <c r="Q12" s="825" t="str">
        <f>IF(基本情報入力シート!Y33="","",基本情報入力シート!Y33)</f>
        <v>特定施設入居者生活介護</v>
      </c>
      <c r="R12" s="826" t="s">
        <v>549</v>
      </c>
      <c r="S12" s="827">
        <f>IF(B12="×","",IF(基本情報入力シート!AB33="","",基本情報入力シート!AB33))</f>
        <v>598262</v>
      </c>
      <c r="T12" s="828">
        <f>IF(B12="×","",IF(基本情報入力シート!AA33="","",基本情報入力シート!AA33))</f>
        <v>10.14</v>
      </c>
      <c r="U12" s="829">
        <f>IF(B12="×","",IF(Q12="","",VLOOKUP(Q12,【参考】数式用2!$A$3:$C$36,3,FALSE)))</f>
        <v>1.4E-2</v>
      </c>
      <c r="V12" s="830" t="s">
        <v>34</v>
      </c>
      <c r="W12" s="831">
        <v>4</v>
      </c>
      <c r="X12" s="832" t="s">
        <v>12</v>
      </c>
      <c r="Y12" s="833">
        <v>2</v>
      </c>
      <c r="Z12" s="834" t="s">
        <v>102</v>
      </c>
      <c r="AA12" s="835">
        <v>4</v>
      </c>
      <c r="AB12" s="836" t="s">
        <v>12</v>
      </c>
      <c r="AC12" s="837">
        <v>9</v>
      </c>
      <c r="AD12" s="836" t="s">
        <v>17</v>
      </c>
      <c r="AE12" s="838" t="s">
        <v>49</v>
      </c>
      <c r="AF12" s="839">
        <f>IF(AC12="","",AC12-Y12+1)</f>
        <v>8</v>
      </c>
      <c r="AG12" s="840" t="s">
        <v>69</v>
      </c>
      <c r="AH12" s="841">
        <f t="shared" ref="AH12:AH75" si="0">IFERROR(ROUNDDOWN(ROUND(S12*T12,0)*U12,0)*AF12,"")</f>
        <v>679432</v>
      </c>
      <c r="AI12" s="842">
        <v>570000</v>
      </c>
      <c r="AJ12" s="842">
        <v>568103</v>
      </c>
      <c r="AK12" s="843">
        <v>110500</v>
      </c>
      <c r="AL12" s="842">
        <v>110311</v>
      </c>
    </row>
    <row r="13" spans="1:38" ht="36.75" customHeight="1">
      <c r="A13" s="821">
        <f>A12+1</f>
        <v>2</v>
      </c>
      <c r="B13" s="826"/>
      <c r="C13" s="822">
        <f>IF(基本情報入力シート!C34="","",基本情報入力シート!C34)</f>
        <v>2</v>
      </c>
      <c r="D13" s="823">
        <f>IF(基本情報入力シート!D34="","",基本情報入力シート!D34)</f>
        <v>3</v>
      </c>
      <c r="E13" s="823">
        <f>IF(基本情報入力シート!E34="","",基本情報入力シート!E34)</f>
        <v>7</v>
      </c>
      <c r="F13" s="823">
        <f>IF(基本情報入力シート!F34="","",基本情報入力シート!F34)</f>
        <v>2</v>
      </c>
      <c r="G13" s="823">
        <f>IF(基本情報入力シート!G34="","",基本情報入力シート!G34)</f>
        <v>2</v>
      </c>
      <c r="H13" s="823">
        <f>IF(基本情報入力シート!H34="","",基本情報入力シート!H34)</f>
        <v>0</v>
      </c>
      <c r="I13" s="823">
        <f>IF(基本情報入力シート!I34="","",基本情報入力シート!I34)</f>
        <v>2</v>
      </c>
      <c r="J13" s="823">
        <f>IF(基本情報入力シート!J34="","",基本情報入力シート!J34)</f>
        <v>2</v>
      </c>
      <c r="K13" s="823">
        <f>IF(基本情報入力シート!K34="","",基本情報入力シート!K34)</f>
        <v>6</v>
      </c>
      <c r="L13" s="861">
        <f>IF(基本情報入力シート!L34="","",基本情報入力シート!L34)</f>
        <v>3</v>
      </c>
      <c r="M13" s="824" t="str">
        <f>IF(基本情報入力シート!M34="","",基本情報入力シート!M34)</f>
        <v>一宮市</v>
      </c>
      <c r="N13" s="824" t="str">
        <f>IF(基本情報入力シート!R34="","",基本情報入力シート!R34)</f>
        <v>愛知県</v>
      </c>
      <c r="O13" s="824" t="str">
        <f>IF(基本情報入力シート!W34="","",基本情報入力シート!W34)</f>
        <v>一宮市</v>
      </c>
      <c r="P13" s="821" t="str">
        <f>IF(基本情報入力シート!X34="","",基本情報入力シート!X34)</f>
        <v>介護付有料老人ホームさくら苑</v>
      </c>
      <c r="Q13" s="825" t="str">
        <f>IF(基本情報入力シート!Y34="","",基本情報入力シート!Y34)</f>
        <v>介護予防特定施設入居者生活介護</v>
      </c>
      <c r="R13" s="826" t="s">
        <v>549</v>
      </c>
      <c r="S13" s="827">
        <f>IF(B13="×","",IF(基本情報入力シート!AB34="","",基本情報入力シート!AB34))</f>
        <v>0</v>
      </c>
      <c r="T13" s="828">
        <f>IF(B13="×","",IF(基本情報入力シート!AA34="","",基本情報入力シート!AA34))</f>
        <v>10.14</v>
      </c>
      <c r="U13" s="829">
        <f>IF(B13="×","",IF(Q13="","",VLOOKUP(Q13,【参考】数式用2!$A$3:$C$36,3,FALSE)))</f>
        <v>1.4E-2</v>
      </c>
      <c r="V13" s="830" t="s">
        <v>34</v>
      </c>
      <c r="W13" s="831">
        <v>4</v>
      </c>
      <c r="X13" s="832" t="s">
        <v>12</v>
      </c>
      <c r="Y13" s="833">
        <v>2</v>
      </c>
      <c r="Z13" s="834" t="s">
        <v>102</v>
      </c>
      <c r="AA13" s="835">
        <v>4</v>
      </c>
      <c r="AB13" s="836" t="s">
        <v>12</v>
      </c>
      <c r="AC13" s="837">
        <v>9</v>
      </c>
      <c r="AD13" s="836" t="s">
        <v>17</v>
      </c>
      <c r="AE13" s="838" t="s">
        <v>49</v>
      </c>
      <c r="AF13" s="839">
        <f>IF(AC13="","",AC13-Y13+1)</f>
        <v>8</v>
      </c>
      <c r="AG13" s="840" t="s">
        <v>69</v>
      </c>
      <c r="AH13" s="841">
        <f t="shared" si="0"/>
        <v>0</v>
      </c>
      <c r="AI13" s="842">
        <v>0</v>
      </c>
      <c r="AJ13" s="842">
        <v>0</v>
      </c>
      <c r="AK13" s="842">
        <v>0</v>
      </c>
      <c r="AL13" s="842">
        <v>0</v>
      </c>
    </row>
    <row r="14" spans="1:38" ht="36.75" customHeight="1">
      <c r="A14" s="821">
        <f t="shared" ref="A14:A77" si="1">A13+1</f>
        <v>3</v>
      </c>
      <c r="B14" s="826"/>
      <c r="C14" s="822">
        <f>IF(基本情報入力シート!C35="","",基本情報入力シート!C35)</f>
        <v>2</v>
      </c>
      <c r="D14" s="823">
        <f>IF(基本情報入力シート!D35="","",基本情報入力シート!D35)</f>
        <v>3</v>
      </c>
      <c r="E14" s="823">
        <f>IF(基本情報入力シート!E35="","",基本情報入力シート!E35)</f>
        <v>7</v>
      </c>
      <c r="F14" s="823">
        <f>IF(基本情報入力シート!F35="","",基本情報入力シート!F35)</f>
        <v>2</v>
      </c>
      <c r="G14" s="823">
        <f>IF(基本情報入力シート!G35="","",基本情報入力シート!G35)</f>
        <v>2</v>
      </c>
      <c r="H14" s="823">
        <f>IF(基本情報入力シート!H35="","",基本情報入力シート!H35)</f>
        <v>0</v>
      </c>
      <c r="I14" s="823">
        <f>IF(基本情報入力シート!I35="","",基本情報入力シート!I35)</f>
        <v>2</v>
      </c>
      <c r="J14" s="823">
        <f>IF(基本情報入力シート!J35="","",基本情報入力シート!J35)</f>
        <v>2</v>
      </c>
      <c r="K14" s="823">
        <f>IF(基本情報入力シート!K35="","",基本情報入力シート!K35)</f>
        <v>5</v>
      </c>
      <c r="L14" s="861">
        <f>IF(基本情報入力シート!L35="","",基本情報入力シート!L35)</f>
        <v>5</v>
      </c>
      <c r="M14" s="824" t="str">
        <f>IF(基本情報入力シート!M35="","",基本情報入力シート!M35)</f>
        <v>一宮市</v>
      </c>
      <c r="N14" s="824" t="str">
        <f>IF(基本情報入力シート!R35="","",基本情報入力シート!R35)</f>
        <v>愛知県</v>
      </c>
      <c r="O14" s="824" t="str">
        <f>IF(基本情報入力シート!W35="","",基本情報入力シート!W35)</f>
        <v>一宮市</v>
      </c>
      <c r="P14" s="821" t="str">
        <f>IF(基本情報入力シート!X35="","",基本情報入力シート!X35)</f>
        <v>デイサービスセンターさくら</v>
      </c>
      <c r="Q14" s="825" t="str">
        <f>IF(基本情報入力シート!Y35="","",基本情報入力シート!Y35)</f>
        <v>通所介護</v>
      </c>
      <c r="R14" s="826" t="s">
        <v>549</v>
      </c>
      <c r="S14" s="827">
        <f>IF(B14="×","",IF(基本情報入力シート!AB35="","",基本情報入力シート!AB35))</f>
        <v>729881</v>
      </c>
      <c r="T14" s="828">
        <f>IF(B14="×","",IF(基本情報入力シート!AA35="","",基本情報入力シート!AA35))</f>
        <v>10.14</v>
      </c>
      <c r="U14" s="829">
        <f>IF(B14="×","",IF(Q14="","",VLOOKUP(Q14,【参考】数式用2!$A$3:$C$36,3,FALSE)))</f>
        <v>0.01</v>
      </c>
      <c r="V14" s="830" t="s">
        <v>34</v>
      </c>
      <c r="W14" s="831">
        <v>4</v>
      </c>
      <c r="X14" s="832" t="s">
        <v>12</v>
      </c>
      <c r="Y14" s="833">
        <v>2</v>
      </c>
      <c r="Z14" s="834" t="s">
        <v>102</v>
      </c>
      <c r="AA14" s="835">
        <v>4</v>
      </c>
      <c r="AB14" s="836" t="s">
        <v>12</v>
      </c>
      <c r="AC14" s="837">
        <v>9</v>
      </c>
      <c r="AD14" s="836" t="s">
        <v>17</v>
      </c>
      <c r="AE14" s="838" t="s">
        <v>49</v>
      </c>
      <c r="AF14" s="839">
        <f t="shared" ref="AF14:AF77" si="2">IF(AC14="","",AC14-Y14+1)</f>
        <v>8</v>
      </c>
      <c r="AG14" s="840" t="s">
        <v>69</v>
      </c>
      <c r="AH14" s="841">
        <f t="shared" si="0"/>
        <v>592072</v>
      </c>
      <c r="AI14" s="842">
        <v>500000</v>
      </c>
      <c r="AJ14" s="842">
        <v>495018</v>
      </c>
      <c r="AK14" s="842">
        <v>96200</v>
      </c>
      <c r="AL14" s="842">
        <v>96120</v>
      </c>
    </row>
    <row r="15" spans="1:38" ht="36.75" customHeight="1">
      <c r="A15" s="821">
        <f t="shared" si="1"/>
        <v>4</v>
      </c>
      <c r="B15" s="826"/>
      <c r="C15" s="822">
        <f>IF(基本情報入力シート!C36="","",基本情報入力シート!C36)</f>
        <v>2</v>
      </c>
      <c r="D15" s="823">
        <f>IF(基本情報入力シート!D36="","",基本情報入力シート!D36)</f>
        <v>3</v>
      </c>
      <c r="E15" s="823">
        <f>IF(基本情報入力シート!E36="","",基本情報入力シート!E36)</f>
        <v>7</v>
      </c>
      <c r="F15" s="823">
        <f>IF(基本情報入力シート!F36="","",基本情報入力シート!F36)</f>
        <v>2</v>
      </c>
      <c r="G15" s="823">
        <f>IF(基本情報入力シート!G36="","",基本情報入力シート!G36)</f>
        <v>2</v>
      </c>
      <c r="H15" s="823">
        <f>IF(基本情報入力シート!H36="","",基本情報入力シート!H36)</f>
        <v>0</v>
      </c>
      <c r="I15" s="823">
        <f>IF(基本情報入力シート!I36="","",基本情報入力シート!I36)</f>
        <v>2</v>
      </c>
      <c r="J15" s="823">
        <f>IF(基本情報入力シート!J36="","",基本情報入力シート!J36)</f>
        <v>2</v>
      </c>
      <c r="K15" s="823">
        <f>IF(基本情報入力シート!K36="","",基本情報入力シート!K36)</f>
        <v>5</v>
      </c>
      <c r="L15" s="861">
        <f>IF(基本情報入力シート!L36="","",基本情報入力シート!L36)</f>
        <v>5</v>
      </c>
      <c r="M15" s="824" t="str">
        <f>IF(基本情報入力シート!M36="","",基本情報入力シート!M36)</f>
        <v>一宮市</v>
      </c>
      <c r="N15" s="824" t="str">
        <f>IF(基本情報入力シート!R36="","",基本情報入力シート!R36)</f>
        <v>愛知県</v>
      </c>
      <c r="O15" s="824" t="str">
        <f>IF(基本情報入力シート!W36="","",基本情報入力シート!W36)</f>
        <v>一宮市</v>
      </c>
      <c r="P15" s="821" t="str">
        <f>IF(基本情報入力シート!X36="","",基本情報入力シート!X36)</f>
        <v>デイサービスセンターさくら</v>
      </c>
      <c r="Q15" s="825" t="str">
        <f>IF(基本情報入力シート!Y36="","",基本情報入力シート!Y36)</f>
        <v>通所型サービス（総合事業）</v>
      </c>
      <c r="R15" s="826" t="s">
        <v>549</v>
      </c>
      <c r="S15" s="827">
        <f>IF(B15="×","",IF(基本情報入力シート!AB36="","",基本情報入力シート!AB36))</f>
        <v>70524</v>
      </c>
      <c r="T15" s="828">
        <f>IF(B15="×","",IF(基本情報入力シート!AA36="","",基本情報入力シート!AA36))</f>
        <v>10.14</v>
      </c>
      <c r="U15" s="829">
        <f>IF(B15="×","",IF(Q15="","",VLOOKUP(Q15,【参考】数式用2!$A$3:$C$36,3,FALSE)))</f>
        <v>0.01</v>
      </c>
      <c r="V15" s="830" t="s">
        <v>34</v>
      </c>
      <c r="W15" s="831">
        <v>4</v>
      </c>
      <c r="X15" s="832" t="s">
        <v>12</v>
      </c>
      <c r="Y15" s="833">
        <v>2</v>
      </c>
      <c r="Z15" s="834" t="s">
        <v>102</v>
      </c>
      <c r="AA15" s="835">
        <v>4</v>
      </c>
      <c r="AB15" s="836" t="s">
        <v>12</v>
      </c>
      <c r="AC15" s="837">
        <v>9</v>
      </c>
      <c r="AD15" s="836" t="s">
        <v>17</v>
      </c>
      <c r="AE15" s="838" t="s">
        <v>49</v>
      </c>
      <c r="AF15" s="839">
        <f t="shared" si="2"/>
        <v>8</v>
      </c>
      <c r="AG15" s="840" t="s">
        <v>69</v>
      </c>
      <c r="AH15" s="841">
        <f t="shared" si="0"/>
        <v>57208</v>
      </c>
      <c r="AI15" s="842">
        <v>48000</v>
      </c>
      <c r="AJ15" s="842">
        <v>47833</v>
      </c>
      <c r="AK15" s="842">
        <v>9500</v>
      </c>
      <c r="AL15" s="842">
        <v>9288</v>
      </c>
    </row>
    <row r="16" spans="1:38" ht="36.75" customHeight="1">
      <c r="A16" s="821">
        <f t="shared" si="1"/>
        <v>5</v>
      </c>
      <c r="B16" s="826"/>
      <c r="C16" s="822">
        <f>IF(基本情報入力シート!C37="","",基本情報入力シート!C37)</f>
        <v>2</v>
      </c>
      <c r="D16" s="823">
        <f>IF(基本情報入力シート!D37="","",基本情報入力シート!D37)</f>
        <v>3</v>
      </c>
      <c r="E16" s="823">
        <f>IF(基本情報入力シート!E37="","",基本情報入力シート!E37)</f>
        <v>7</v>
      </c>
      <c r="F16" s="823">
        <f>IF(基本情報入力シート!F37="","",基本情報入力シート!F37)</f>
        <v>2</v>
      </c>
      <c r="G16" s="823">
        <f>IF(基本情報入力シート!G37="","",基本情報入力シート!G37)</f>
        <v>2</v>
      </c>
      <c r="H16" s="823">
        <f>IF(基本情報入力シート!H37="","",基本情報入力シート!H37)</f>
        <v>0</v>
      </c>
      <c r="I16" s="823">
        <f>IF(基本情報入力シート!I37="","",基本情報入力シート!I37)</f>
        <v>2</v>
      </c>
      <c r="J16" s="823">
        <f>IF(基本情報入力シート!J37="","",基本情報入力シート!J37)</f>
        <v>2</v>
      </c>
      <c r="K16" s="823">
        <f>IF(基本情報入力シート!K37="","",基本情報入力シート!K37)</f>
        <v>5</v>
      </c>
      <c r="L16" s="861">
        <f>IF(基本情報入力シート!L37="","",基本情報入力シート!L37)</f>
        <v>5</v>
      </c>
      <c r="M16" s="824" t="str">
        <f>IF(基本情報入力シート!M37="","",基本情報入力シート!M37)</f>
        <v>岩倉市</v>
      </c>
      <c r="N16" s="824" t="str">
        <f>IF(基本情報入力シート!R37="","",基本情報入力シート!R37)</f>
        <v>愛知県</v>
      </c>
      <c r="O16" s="824" t="str">
        <f>IF(基本情報入力シート!W37="","",基本情報入力シート!W37)</f>
        <v>一宮市</v>
      </c>
      <c r="P16" s="821" t="str">
        <f>IF(基本情報入力シート!X37="","",基本情報入力シート!X37)</f>
        <v>デイサービスセンターさくら</v>
      </c>
      <c r="Q16" s="825" t="str">
        <f>IF(基本情報入力シート!Y37="","",基本情報入力シート!Y37)</f>
        <v>通所型サービス（総合事業）</v>
      </c>
      <c r="R16" s="826" t="s">
        <v>549</v>
      </c>
      <c r="S16" s="827">
        <f>IF(B16="×","",IF(基本情報入力シート!AB37="","",基本情報入力シート!AB37))</f>
        <v>2171</v>
      </c>
      <c r="T16" s="828">
        <f>IF(B16="×","",IF(基本情報入力シート!AA37="","",基本情報入力シート!AA37))</f>
        <v>10.14</v>
      </c>
      <c r="U16" s="829">
        <f>IF(B16="×","",IF(Q16="","",VLOOKUP(Q16,【参考】数式用2!$A$3:$C$36,3,FALSE)))</f>
        <v>0.01</v>
      </c>
      <c r="V16" s="830" t="s">
        <v>34</v>
      </c>
      <c r="W16" s="831">
        <v>4</v>
      </c>
      <c r="X16" s="832" t="s">
        <v>12</v>
      </c>
      <c r="Y16" s="833">
        <v>2</v>
      </c>
      <c r="Z16" s="834" t="s">
        <v>102</v>
      </c>
      <c r="AA16" s="835">
        <v>4</v>
      </c>
      <c r="AB16" s="836" t="s">
        <v>12</v>
      </c>
      <c r="AC16" s="837">
        <v>9</v>
      </c>
      <c r="AD16" s="836" t="s">
        <v>17</v>
      </c>
      <c r="AE16" s="838" t="s">
        <v>49</v>
      </c>
      <c r="AF16" s="839">
        <f t="shared" si="2"/>
        <v>8</v>
      </c>
      <c r="AG16" s="840" t="s">
        <v>69</v>
      </c>
      <c r="AH16" s="841">
        <f t="shared" si="0"/>
        <v>1760</v>
      </c>
      <c r="AI16" s="842">
        <v>1500</v>
      </c>
      <c r="AJ16" s="842">
        <v>1446</v>
      </c>
      <c r="AK16" s="842">
        <v>300</v>
      </c>
      <c r="AL16" s="842">
        <v>281</v>
      </c>
    </row>
    <row r="17" spans="1:38" ht="36.75" customHeight="1">
      <c r="A17" s="821">
        <f t="shared" si="1"/>
        <v>6</v>
      </c>
      <c r="B17" s="826"/>
      <c r="C17" s="822">
        <f>IF(基本情報入力シート!C38="","",基本情報入力シート!C38)</f>
        <v>2</v>
      </c>
      <c r="D17" s="823">
        <f>IF(基本情報入力シート!D38="","",基本情報入力シート!D38)</f>
        <v>3</v>
      </c>
      <c r="E17" s="823">
        <f>IF(基本情報入力シート!E38="","",基本情報入力シート!E38)</f>
        <v>7</v>
      </c>
      <c r="F17" s="823">
        <f>IF(基本情報入力シート!F38="","",基本情報入力シート!F38)</f>
        <v>2</v>
      </c>
      <c r="G17" s="823">
        <f>IF(基本情報入力シート!G38="","",基本情報入力シート!G38)</f>
        <v>2</v>
      </c>
      <c r="H17" s="823">
        <f>IF(基本情報入力シート!H38="","",基本情報入力シート!H38)</f>
        <v>0</v>
      </c>
      <c r="I17" s="823">
        <f>IF(基本情報入力シート!I38="","",基本情報入力シート!I38)</f>
        <v>2</v>
      </c>
      <c r="J17" s="823">
        <f>IF(基本情報入力シート!J38="","",基本情報入力シート!J38)</f>
        <v>2</v>
      </c>
      <c r="K17" s="823">
        <f>IF(基本情報入力シート!K38="","",基本情報入力シート!K38)</f>
        <v>5</v>
      </c>
      <c r="L17" s="861">
        <f>IF(基本情報入力シート!L38="","",基本情報入力シート!L38)</f>
        <v>5</v>
      </c>
      <c r="M17" s="824" t="str">
        <f>IF(基本情報入力シート!M38="","",基本情報入力シート!M38)</f>
        <v>稲沢市</v>
      </c>
      <c r="N17" s="824" t="str">
        <f>IF(基本情報入力シート!R38="","",基本情報入力シート!R38)</f>
        <v>愛知県</v>
      </c>
      <c r="O17" s="824" t="str">
        <f>IF(基本情報入力シート!W38="","",基本情報入力シート!W38)</f>
        <v>一宮市</v>
      </c>
      <c r="P17" s="821" t="str">
        <f>IF(基本情報入力シート!X38="","",基本情報入力シート!X38)</f>
        <v>デイサービスセンターさくら</v>
      </c>
      <c r="Q17" s="825" t="str">
        <f>IF(基本情報入力シート!Y38="","",基本情報入力シート!Y38)</f>
        <v>通所型サービス（総合事業）</v>
      </c>
      <c r="R17" s="826" t="s">
        <v>549</v>
      </c>
      <c r="S17" s="827">
        <f>IF(B17="×","",IF(基本情報入力シート!AB38="","",基本情報入力シート!AB38))</f>
        <v>0</v>
      </c>
      <c r="T17" s="828">
        <f>IF(B17="×","",IF(基本情報入力シート!AA38="","",基本情報入力シート!AA38))</f>
        <v>10.14</v>
      </c>
      <c r="U17" s="829">
        <f>IF(B17="×","",IF(Q17="","",VLOOKUP(Q17,【参考】数式用2!$A$3:$C$36,3,FALSE)))</f>
        <v>0.01</v>
      </c>
      <c r="V17" s="830" t="s">
        <v>201</v>
      </c>
      <c r="W17" s="831">
        <v>4</v>
      </c>
      <c r="X17" s="832" t="s">
        <v>202</v>
      </c>
      <c r="Y17" s="833">
        <v>2</v>
      </c>
      <c r="Z17" s="834" t="s">
        <v>203</v>
      </c>
      <c r="AA17" s="835">
        <v>4</v>
      </c>
      <c r="AB17" s="836" t="s">
        <v>202</v>
      </c>
      <c r="AC17" s="837">
        <v>9</v>
      </c>
      <c r="AD17" s="836" t="s">
        <v>204</v>
      </c>
      <c r="AE17" s="838" t="s">
        <v>205</v>
      </c>
      <c r="AF17" s="839">
        <f t="shared" si="2"/>
        <v>8</v>
      </c>
      <c r="AG17" s="840" t="s">
        <v>206</v>
      </c>
      <c r="AH17" s="841">
        <f t="shared" si="0"/>
        <v>0</v>
      </c>
      <c r="AI17" s="842">
        <v>0</v>
      </c>
      <c r="AJ17" s="842">
        <v>0</v>
      </c>
      <c r="AK17" s="842">
        <v>0</v>
      </c>
      <c r="AL17" s="842">
        <v>0</v>
      </c>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2022-04-08T03:22:42Z</dcterms:modified>
</cp:coreProperties>
</file>